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0"/>
  </bookViews>
  <sheets>
    <sheet name="March 2015" sheetId="1" r:id="rId1"/>
  </sheets>
  <definedNames>
    <definedName name="_xlnm.Print_Area" localSheetId="0">'March 2015'!$A$1:$BG$45</definedName>
    <definedName name="rawdata">#REF!</definedName>
  </definedNames>
  <calcPr fullCalcOnLoad="1"/>
</workbook>
</file>

<file path=xl/sharedStrings.xml><?xml version="1.0" encoding="utf-8"?>
<sst xmlns="http://schemas.openxmlformats.org/spreadsheetml/2006/main" count="208" uniqueCount="27">
  <si>
    <t>Charges</t>
  </si>
  <si>
    <t>Payments</t>
  </si>
  <si>
    <t>Refunds</t>
  </si>
  <si>
    <t>Net Collections</t>
  </si>
  <si>
    <t>INDIGENT</t>
  </si>
  <si>
    <t>MANAGED CARE</t>
  </si>
  <si>
    <t>MEDICAID</t>
  </si>
  <si>
    <t>MEDICARE</t>
  </si>
  <si>
    <t>OTHER</t>
  </si>
  <si>
    <t>SELF-PAY</t>
  </si>
  <si>
    <t>COMMERCIAL</t>
  </si>
  <si>
    <t>TOTAL</t>
  </si>
  <si>
    <t>%of Total Charges</t>
  </si>
  <si>
    <t>%of Total Collections</t>
  </si>
  <si>
    <t>MSRDP - General</t>
  </si>
  <si>
    <t xml:space="preserve">Combined </t>
  </si>
  <si>
    <t>GRAND TOTAL</t>
  </si>
  <si>
    <t>GCR (Net Collections/Gross Charges)</t>
  </si>
  <si>
    <t>11*</t>
  </si>
  <si>
    <t>% of Total Collections</t>
  </si>
  <si>
    <t>GCR % (Net Collections/Gross Charges)</t>
  </si>
  <si>
    <t>NET COLLECTIONS/GROSS CHARGES %</t>
  </si>
  <si>
    <t>RVUs</t>
  </si>
  <si>
    <t>HHS</t>
  </si>
  <si>
    <t>HHS &amp; MSRDP - General</t>
  </si>
  <si>
    <t>2014 (through March)</t>
  </si>
  <si>
    <t>EXHIBIT C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</si>
</sst>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&quot;$&quot;#,##0"/>
    <numFmt numFmtId="167" formatCode="0.0%;\(0.0%\)"/>
    <numFmt numFmtId="168" formatCode="0.00_);\(0.0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,##0;\(#,##0\)"/>
    <numFmt numFmtId="174" formatCode="[$-409]dddd\,\ mmmm\ dd\,\ yyyy"/>
    <numFmt numFmtId="175" formatCode="[$-409]h:mm:ss\ AM/PM"/>
    <numFmt numFmtId="176" formatCode="#,##0.0_);\(#,##0.0\)"/>
    <numFmt numFmtId="177" formatCode="#,##0.0"/>
    <numFmt numFmtId="178" formatCode="0_);\(0\)"/>
  </numFmts>
  <fonts count="50">
    <font>
      <sz val="10"/>
      <name val="Arial"/>
      <family val="0"/>
    </font>
    <font>
      <sz val="12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sz val="18"/>
      <name val="Bookman Old Style"/>
      <family val="1"/>
    </font>
    <font>
      <sz val="16"/>
      <name val="Bookman Old Style"/>
      <family val="1"/>
    </font>
    <font>
      <i/>
      <sz val="16"/>
      <name val="Bookman Old Style"/>
      <family val="1"/>
    </font>
    <font>
      <sz val="15"/>
      <name val="Bookman Old Style"/>
      <family val="1"/>
    </font>
    <font>
      <b/>
      <i/>
      <sz val="15"/>
      <name val="Bookman Old Style"/>
      <family val="1"/>
    </font>
    <font>
      <b/>
      <sz val="16"/>
      <name val="Bookman Old Style"/>
      <family val="1"/>
    </font>
    <font>
      <b/>
      <i/>
      <sz val="16"/>
      <name val="Bookman Old Style"/>
      <family val="1"/>
    </font>
    <font>
      <b/>
      <u val="single"/>
      <sz val="1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3" fontId="2" fillId="0" borderId="0" xfId="0" applyNumberFormat="1" applyFont="1" applyAlignment="1">
      <alignment vertical="top" wrapText="1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vertical="top" wrapText="1"/>
    </xf>
    <xf numFmtId="10" fontId="8" fillId="0" borderId="0" xfId="0" applyNumberFormat="1" applyFont="1" applyFill="1" applyAlignment="1">
      <alignment horizontal="left" vertical="top"/>
    </xf>
    <xf numFmtId="0" fontId="7" fillId="0" borderId="0" xfId="0" applyFont="1" applyAlignment="1">
      <alignment vertical="top"/>
    </xf>
    <xf numFmtId="3" fontId="7" fillId="0" borderId="0" xfId="0" applyNumberFormat="1" applyFont="1" applyAlignment="1">
      <alignment vertical="top"/>
    </xf>
    <xf numFmtId="0" fontId="9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/>
    </xf>
    <xf numFmtId="3" fontId="5" fillId="35" borderId="11" xfId="0" applyNumberFormat="1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 wrapText="1"/>
    </xf>
    <xf numFmtId="3" fontId="5" fillId="33" borderId="11" xfId="0" applyNumberFormat="1" applyFont="1" applyFill="1" applyBorder="1" applyAlignment="1">
      <alignment horizontal="center"/>
    </xf>
    <xf numFmtId="3" fontId="5" fillId="34" borderId="11" xfId="0" applyNumberFormat="1" applyFont="1" applyFill="1" applyBorder="1" applyAlignment="1">
      <alignment horizontal="center" wrapText="1"/>
    </xf>
    <xf numFmtId="37" fontId="5" fillId="33" borderId="0" xfId="0" applyNumberFormat="1" applyFont="1" applyFill="1" applyAlignment="1">
      <alignment/>
    </xf>
    <xf numFmtId="164" fontId="5" fillId="33" borderId="0" xfId="0" applyNumberFormat="1" applyFont="1" applyFill="1" applyAlignment="1">
      <alignment horizontal="right"/>
    </xf>
    <xf numFmtId="37" fontId="5" fillId="34" borderId="0" xfId="0" applyNumberFormat="1" applyFont="1" applyFill="1" applyAlignment="1">
      <alignment/>
    </xf>
    <xf numFmtId="164" fontId="5" fillId="35" borderId="0" xfId="0" applyNumberFormat="1" applyFont="1" applyFill="1" applyAlignment="1">
      <alignment horizontal="right"/>
    </xf>
    <xf numFmtId="164" fontId="5" fillId="34" borderId="0" xfId="0" applyNumberFormat="1" applyFont="1" applyFill="1" applyAlignment="1">
      <alignment horizontal="right"/>
    </xf>
    <xf numFmtId="37" fontId="5" fillId="33" borderId="0" xfId="0" applyNumberFormat="1" applyFont="1" applyFill="1" applyAlignment="1">
      <alignment horizontal="right"/>
    </xf>
    <xf numFmtId="37" fontId="5" fillId="35" borderId="0" xfId="0" applyNumberFormat="1" applyFont="1" applyFill="1" applyAlignment="1">
      <alignment/>
    </xf>
    <xf numFmtId="3" fontId="5" fillId="33" borderId="0" xfId="0" applyNumberFormat="1" applyFont="1" applyFill="1" applyAlignment="1">
      <alignment horizontal="right"/>
    </xf>
    <xf numFmtId="3" fontId="5" fillId="34" borderId="0" xfId="0" applyNumberFormat="1" applyFont="1" applyFill="1" applyAlignment="1">
      <alignment horizontal="right"/>
    </xf>
    <xf numFmtId="37" fontId="5" fillId="34" borderId="0" xfId="0" applyNumberFormat="1" applyFont="1" applyFill="1" applyBorder="1" applyAlignment="1">
      <alignment horizontal="right"/>
    </xf>
    <xf numFmtId="37" fontId="5" fillId="34" borderId="0" xfId="0" applyNumberFormat="1" applyFont="1" applyFill="1" applyAlignment="1">
      <alignment horizontal="right"/>
    </xf>
    <xf numFmtId="10" fontId="5" fillId="33" borderId="0" xfId="0" applyNumberFormat="1" applyFont="1" applyFill="1" applyAlignment="1">
      <alignment/>
    </xf>
    <xf numFmtId="164" fontId="5" fillId="33" borderId="0" xfId="0" applyNumberFormat="1" applyFont="1" applyFill="1" applyBorder="1" applyAlignment="1">
      <alignment horizontal="right"/>
    </xf>
    <xf numFmtId="37" fontId="5" fillId="34" borderId="10" xfId="0" applyNumberFormat="1" applyFont="1" applyFill="1" applyBorder="1" applyAlignment="1">
      <alignment/>
    </xf>
    <xf numFmtId="37" fontId="5" fillId="33" borderId="10" xfId="0" applyNumberFormat="1" applyFont="1" applyFill="1" applyBorder="1" applyAlignment="1">
      <alignment/>
    </xf>
    <xf numFmtId="164" fontId="5" fillId="33" borderId="10" xfId="0" applyNumberFormat="1" applyFont="1" applyFill="1" applyBorder="1" applyAlignment="1">
      <alignment horizontal="right"/>
    </xf>
    <xf numFmtId="37" fontId="5" fillId="35" borderId="0" xfId="0" applyNumberFormat="1" applyFont="1" applyFill="1" applyBorder="1" applyAlignment="1">
      <alignment/>
    </xf>
    <xf numFmtId="164" fontId="5" fillId="35" borderId="0" xfId="0" applyNumberFormat="1" applyFont="1" applyFill="1" applyBorder="1" applyAlignment="1">
      <alignment horizontal="right"/>
    </xf>
    <xf numFmtId="37" fontId="5" fillId="33" borderId="0" xfId="0" applyNumberFormat="1" applyFont="1" applyFill="1" applyBorder="1" applyAlignment="1">
      <alignment/>
    </xf>
    <xf numFmtId="164" fontId="5" fillId="34" borderId="0" xfId="0" applyNumberFormat="1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 horizontal="right"/>
    </xf>
    <xf numFmtId="37" fontId="5" fillId="33" borderId="0" xfId="0" applyNumberFormat="1" applyFont="1" applyFill="1" applyBorder="1" applyAlignment="1">
      <alignment horizontal="right"/>
    </xf>
    <xf numFmtId="167" fontId="5" fillId="34" borderId="0" xfId="0" applyNumberFormat="1" applyFont="1" applyFill="1" applyBorder="1" applyAlignment="1">
      <alignment horizontal="right"/>
    </xf>
    <xf numFmtId="10" fontId="5" fillId="33" borderId="10" xfId="0" applyNumberFormat="1" applyFont="1" applyFill="1" applyBorder="1" applyAlignment="1">
      <alignment/>
    </xf>
    <xf numFmtId="167" fontId="5" fillId="33" borderId="0" xfId="0" applyNumberFormat="1" applyFont="1" applyFill="1" applyBorder="1" applyAlignment="1">
      <alignment horizontal="right"/>
    </xf>
    <xf numFmtId="37" fontId="9" fillId="33" borderId="12" xfId="0" applyNumberFormat="1" applyFont="1" applyFill="1" applyBorder="1" applyAlignment="1">
      <alignment/>
    </xf>
    <xf numFmtId="164" fontId="9" fillId="33" borderId="12" xfId="0" applyNumberFormat="1" applyFont="1" applyFill="1" applyBorder="1" applyAlignment="1">
      <alignment horizontal="right"/>
    </xf>
    <xf numFmtId="37" fontId="9" fillId="34" borderId="0" xfId="0" applyNumberFormat="1" applyFont="1" applyFill="1" applyAlignment="1">
      <alignment/>
    </xf>
    <xf numFmtId="164" fontId="9" fillId="34" borderId="12" xfId="0" applyNumberFormat="1" applyFont="1" applyFill="1" applyBorder="1" applyAlignment="1">
      <alignment horizontal="right"/>
    </xf>
    <xf numFmtId="37" fontId="9" fillId="34" borderId="12" xfId="0" applyNumberFormat="1" applyFont="1" applyFill="1" applyBorder="1" applyAlignment="1">
      <alignment/>
    </xf>
    <xf numFmtId="37" fontId="9" fillId="33" borderId="0" xfId="0" applyNumberFormat="1" applyFont="1" applyFill="1" applyAlignment="1">
      <alignment/>
    </xf>
    <xf numFmtId="164" fontId="9" fillId="33" borderId="0" xfId="0" applyNumberFormat="1" applyFont="1" applyFill="1" applyAlignment="1">
      <alignment horizontal="right"/>
    </xf>
    <xf numFmtId="3" fontId="9" fillId="35" borderId="12" xfId="0" applyNumberFormat="1" applyFont="1" applyFill="1" applyBorder="1" applyAlignment="1">
      <alignment/>
    </xf>
    <xf numFmtId="37" fontId="9" fillId="35" borderId="12" xfId="0" applyNumberFormat="1" applyFont="1" applyFill="1" applyBorder="1" applyAlignment="1">
      <alignment/>
    </xf>
    <xf numFmtId="164" fontId="9" fillId="35" borderId="12" xfId="0" applyNumberFormat="1" applyFont="1" applyFill="1" applyBorder="1" applyAlignment="1">
      <alignment horizontal="right"/>
    </xf>
    <xf numFmtId="3" fontId="9" fillId="33" borderId="12" xfId="0" applyNumberFormat="1" applyFont="1" applyFill="1" applyBorder="1" applyAlignment="1">
      <alignment/>
    </xf>
    <xf numFmtId="3" fontId="9" fillId="34" borderId="12" xfId="0" applyNumberFormat="1" applyFont="1" applyFill="1" applyBorder="1" applyAlignment="1">
      <alignment/>
    </xf>
    <xf numFmtId="10" fontId="9" fillId="33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 horizontal="left"/>
    </xf>
    <xf numFmtId="37" fontId="9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Alignment="1">
      <alignment vertical="top" wrapText="1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top"/>
    </xf>
    <xf numFmtId="10" fontId="10" fillId="0" borderId="0" xfId="0" applyNumberFormat="1" applyFont="1" applyFill="1" applyAlignment="1">
      <alignment horizontal="left" vertical="top"/>
    </xf>
    <xf numFmtId="3" fontId="5" fillId="0" borderId="0" xfId="0" applyNumberFormat="1" applyFont="1" applyFill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horizontal="left"/>
    </xf>
    <xf numFmtId="10" fontId="6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/>
    </xf>
    <xf numFmtId="4" fontId="5" fillId="33" borderId="0" xfId="0" applyNumberFormat="1" applyFont="1" applyFill="1" applyAlignment="1">
      <alignment/>
    </xf>
    <xf numFmtId="3" fontId="5" fillId="34" borderId="0" xfId="0" applyNumberFormat="1" applyFont="1" applyFill="1" applyAlignment="1">
      <alignment/>
    </xf>
    <xf numFmtId="4" fontId="5" fillId="34" borderId="0" xfId="0" applyNumberFormat="1" applyFont="1" applyFill="1" applyAlignment="1">
      <alignment/>
    </xf>
    <xf numFmtId="164" fontId="5" fillId="34" borderId="10" xfId="0" applyNumberFormat="1" applyFont="1" applyFill="1" applyBorder="1" applyAlignment="1">
      <alignment horizontal="right"/>
    </xf>
    <xf numFmtId="37" fontId="5" fillId="33" borderId="10" xfId="0" applyNumberFormat="1" applyFont="1" applyFill="1" applyBorder="1" applyAlignment="1">
      <alignment horizontal="right"/>
    </xf>
    <xf numFmtId="37" fontId="5" fillId="34" borderId="10" xfId="0" applyNumberFormat="1" applyFont="1" applyFill="1" applyBorder="1" applyAlignment="1">
      <alignment horizontal="right"/>
    </xf>
    <xf numFmtId="164" fontId="9" fillId="34" borderId="0" xfId="0" applyNumberFormat="1" applyFont="1" applyFill="1" applyAlignment="1">
      <alignment horizontal="right"/>
    </xf>
    <xf numFmtId="37" fontId="9" fillId="33" borderId="0" xfId="0" applyNumberFormat="1" applyFont="1" applyFill="1" applyBorder="1" applyAlignment="1">
      <alignment/>
    </xf>
    <xf numFmtId="164" fontId="9" fillId="33" borderId="0" xfId="0" applyNumberFormat="1" applyFont="1" applyFill="1" applyBorder="1" applyAlignment="1">
      <alignment horizontal="right"/>
    </xf>
    <xf numFmtId="37" fontId="9" fillId="34" borderId="0" xfId="0" applyNumberFormat="1" applyFont="1" applyFill="1" applyBorder="1" applyAlignment="1">
      <alignment/>
    </xf>
    <xf numFmtId="37" fontId="5" fillId="0" borderId="0" xfId="0" applyNumberFormat="1" applyFont="1" applyFill="1" applyAlignment="1">
      <alignment/>
    </xf>
    <xf numFmtId="37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7" fontId="9" fillId="0" borderId="0" xfId="0" applyNumberFormat="1" applyFont="1" applyFill="1" applyAlignment="1">
      <alignment vertical="top"/>
    </xf>
    <xf numFmtId="164" fontId="9" fillId="0" borderId="0" xfId="0" applyNumberFormat="1" applyFont="1" applyFill="1" applyAlignment="1">
      <alignment horizontal="right" vertical="top"/>
    </xf>
    <xf numFmtId="37" fontId="9" fillId="0" borderId="0" xfId="0" applyNumberFormat="1" applyFont="1" applyFill="1" applyBorder="1" applyAlignment="1">
      <alignment vertical="top"/>
    </xf>
    <xf numFmtId="3" fontId="9" fillId="0" borderId="0" xfId="0" applyNumberFormat="1" applyFont="1" applyFill="1" applyBorder="1" applyAlignment="1">
      <alignment vertical="top"/>
    </xf>
    <xf numFmtId="3" fontId="9" fillId="0" borderId="0" xfId="0" applyNumberFormat="1" applyFont="1" applyFill="1" applyAlignment="1">
      <alignment horizontal="right" vertical="top"/>
    </xf>
    <xf numFmtId="0" fontId="9" fillId="0" borderId="0" xfId="0" applyFont="1" applyFill="1" applyAlignment="1">
      <alignment vertical="top"/>
    </xf>
    <xf numFmtId="3" fontId="5" fillId="0" borderId="0" xfId="0" applyNumberFormat="1" applyFont="1" applyAlignment="1">
      <alignment/>
    </xf>
    <xf numFmtId="0" fontId="9" fillId="0" borderId="0" xfId="0" applyFont="1" applyAlignment="1">
      <alignment horizontal="left" wrapText="1"/>
    </xf>
    <xf numFmtId="164" fontId="5" fillId="33" borderId="0" xfId="0" applyNumberFormat="1" applyFont="1" applyFill="1" applyAlignment="1">
      <alignment/>
    </xf>
    <xf numFmtId="164" fontId="5" fillId="34" borderId="0" xfId="0" applyNumberFormat="1" applyFont="1" applyFill="1" applyAlignment="1">
      <alignment/>
    </xf>
    <xf numFmtId="3" fontId="5" fillId="35" borderId="0" xfId="0" applyNumberFormat="1" applyFont="1" applyFill="1" applyAlignment="1">
      <alignment/>
    </xf>
    <xf numFmtId="164" fontId="5" fillId="35" borderId="0" xfId="0" applyNumberFormat="1" applyFont="1" applyFill="1" applyAlignment="1">
      <alignment/>
    </xf>
    <xf numFmtId="3" fontId="5" fillId="33" borderId="0" xfId="0" applyNumberFormat="1" applyFont="1" applyFill="1" applyAlignment="1">
      <alignment/>
    </xf>
    <xf numFmtId="164" fontId="5" fillId="33" borderId="10" xfId="0" applyNumberFormat="1" applyFont="1" applyFill="1" applyBorder="1" applyAlignment="1">
      <alignment/>
    </xf>
    <xf numFmtId="164" fontId="5" fillId="34" borderId="10" xfId="0" applyNumberFormat="1" applyFont="1" applyFill="1" applyBorder="1" applyAlignment="1">
      <alignment/>
    </xf>
    <xf numFmtId="3" fontId="5" fillId="35" borderId="0" xfId="0" applyNumberFormat="1" applyFont="1" applyFill="1" applyBorder="1" applyAlignment="1">
      <alignment/>
    </xf>
    <xf numFmtId="164" fontId="5" fillId="35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164" fontId="5" fillId="33" borderId="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37" fontId="5" fillId="35" borderId="10" xfId="0" applyNumberFormat="1" applyFont="1" applyFill="1" applyBorder="1" applyAlignment="1">
      <alignment/>
    </xf>
    <xf numFmtId="164" fontId="5" fillId="35" borderId="1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 horizontal="right"/>
    </xf>
    <xf numFmtId="9" fontId="9" fillId="33" borderId="0" xfId="0" applyNumberFormat="1" applyFont="1" applyFill="1" applyAlignment="1">
      <alignment horizontal="right"/>
    </xf>
    <xf numFmtId="3" fontId="9" fillId="35" borderId="0" xfId="0" applyNumberFormat="1" applyFont="1" applyFill="1" applyAlignment="1">
      <alignment/>
    </xf>
    <xf numFmtId="37" fontId="9" fillId="35" borderId="0" xfId="0" applyNumberFormat="1" applyFont="1" applyFill="1" applyAlignment="1">
      <alignment/>
    </xf>
    <xf numFmtId="164" fontId="9" fillId="35" borderId="0" xfId="0" applyNumberFormat="1" applyFont="1" applyFill="1" applyAlignment="1">
      <alignment horizontal="right"/>
    </xf>
    <xf numFmtId="37" fontId="9" fillId="35" borderId="0" xfId="0" applyNumberFormat="1" applyFont="1" applyFill="1" applyBorder="1" applyAlignment="1">
      <alignment/>
    </xf>
    <xf numFmtId="164" fontId="9" fillId="34" borderId="0" xfId="0" applyNumberFormat="1" applyFont="1" applyFill="1" applyBorder="1" applyAlignment="1">
      <alignment horizontal="right"/>
    </xf>
    <xf numFmtId="3" fontId="9" fillId="33" borderId="0" xfId="0" applyNumberFormat="1" applyFont="1" applyFill="1" applyAlignment="1">
      <alignment/>
    </xf>
    <xf numFmtId="3" fontId="9" fillId="34" borderId="0" xfId="0" applyNumberFormat="1" applyFont="1" applyFill="1" applyBorder="1" applyAlignment="1">
      <alignment/>
    </xf>
    <xf numFmtId="3" fontId="5" fillId="0" borderId="0" xfId="0" applyNumberFormat="1" applyFont="1" applyAlignment="1">
      <alignment vertical="top"/>
    </xf>
    <xf numFmtId="10" fontId="10" fillId="0" borderId="0" xfId="0" applyNumberFormat="1" applyFont="1" applyFill="1" applyAlignment="1">
      <alignment horizontal="center" vertical="top"/>
    </xf>
    <xf numFmtId="0" fontId="9" fillId="33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5"/>
  <sheetViews>
    <sheetView tabSelected="1" zoomScale="80" zoomScaleNormal="80" workbookViewId="0" topLeftCell="A1">
      <selection activeCell="BH16" sqref="BH16"/>
    </sheetView>
  </sheetViews>
  <sheetFormatPr defaultColWidth="9.140625" defaultRowHeight="12.75"/>
  <cols>
    <col min="1" max="1" width="37.8515625" style="0" customWidth="1"/>
    <col min="2" max="2" width="12.28125" style="0" hidden="1" customWidth="1"/>
    <col min="3" max="3" width="10.7109375" style="0" hidden="1" customWidth="1"/>
    <col min="4" max="4" width="10.28125" style="0" hidden="1" customWidth="1"/>
    <col min="5" max="5" width="10.7109375" style="0" hidden="1" customWidth="1"/>
    <col min="6" max="6" width="13.28125" style="0" hidden="1" customWidth="1"/>
    <col min="7" max="7" width="12.7109375" style="0" hidden="1" customWidth="1"/>
    <col min="8" max="8" width="15.421875" style="0" hidden="1" customWidth="1"/>
    <col min="9" max="9" width="15.28125" style="0" hidden="1" customWidth="1"/>
    <col min="10" max="10" width="17.28125" style="0" hidden="1" customWidth="1"/>
    <col min="11" max="11" width="18.7109375" style="0" hidden="1" customWidth="1"/>
    <col min="12" max="12" width="9.28125" style="0" hidden="1" customWidth="1"/>
    <col min="13" max="13" width="15.7109375" style="0" hidden="1" customWidth="1"/>
    <col min="14" max="14" width="10.00390625" style="0" hidden="1" customWidth="1"/>
    <col min="15" max="15" width="15.421875" style="0" hidden="1" customWidth="1"/>
    <col min="16" max="16" width="15.28125" style="0" hidden="1" customWidth="1"/>
    <col min="17" max="17" width="18.28125" style="0" hidden="1" customWidth="1"/>
    <col min="18" max="18" width="13.7109375" style="0" hidden="1" customWidth="1"/>
    <col min="19" max="19" width="9.421875" style="0" hidden="1" customWidth="1"/>
    <col min="20" max="20" width="14.7109375" style="0" hidden="1" customWidth="1"/>
    <col min="21" max="21" width="10.00390625" style="0" hidden="1" customWidth="1"/>
    <col min="22" max="22" width="15.7109375" style="0" hidden="1" customWidth="1"/>
    <col min="23" max="23" width="14.28125" style="1" hidden="1" customWidth="1"/>
    <col min="24" max="24" width="14.28125" style="0" hidden="1" customWidth="1"/>
    <col min="25" max="26" width="15.00390625" style="0" hidden="1" customWidth="1"/>
    <col min="27" max="27" width="9.421875" style="0" hidden="1" customWidth="1"/>
    <col min="28" max="28" width="14.7109375" style="0" hidden="1" customWidth="1"/>
    <col min="29" max="29" width="14.57421875" style="0" hidden="1" customWidth="1"/>
    <col min="30" max="30" width="16.57421875" style="0" hidden="1" customWidth="1"/>
    <col min="31" max="31" width="13.57421875" style="1" hidden="1" customWidth="1"/>
    <col min="32" max="32" width="17.28125" style="0" hidden="1" customWidth="1"/>
    <col min="33" max="33" width="18.28125" style="0" hidden="1" customWidth="1"/>
    <col min="34" max="34" width="1.57421875" style="0" hidden="1" customWidth="1"/>
    <col min="35" max="35" width="9.7109375" style="0" hidden="1" customWidth="1"/>
    <col min="36" max="36" width="15.7109375" style="0" hidden="1" customWidth="1"/>
    <col min="37" max="37" width="11.421875" style="0" hidden="1" customWidth="1"/>
    <col min="38" max="38" width="17.421875" style="0" hidden="1" customWidth="1"/>
    <col min="39" max="39" width="11.7109375" style="1" hidden="1" customWidth="1"/>
    <col min="40" max="40" width="15.28125" style="0" hidden="1" customWidth="1"/>
    <col min="41" max="41" width="9.7109375" style="0" hidden="1" customWidth="1"/>
    <col min="42" max="42" width="15.7109375" style="0" hidden="1" customWidth="1"/>
    <col min="43" max="43" width="11.57421875" style="0" hidden="1" customWidth="1"/>
    <col min="44" max="44" width="18.28125" style="0" hidden="1" customWidth="1"/>
    <col min="45" max="45" width="2.7109375" style="1" hidden="1" customWidth="1"/>
    <col min="46" max="46" width="15.7109375" style="0" hidden="1" customWidth="1"/>
    <col min="47" max="47" width="10.28125" style="0" hidden="1" customWidth="1"/>
    <col min="48" max="48" width="15.7109375" style="0" hidden="1" customWidth="1"/>
    <col min="49" max="49" width="12.00390625" style="0" hidden="1" customWidth="1"/>
    <col min="50" max="50" width="17.7109375" style="0" hidden="1" customWidth="1"/>
    <col min="51" max="51" width="12.421875" style="1" hidden="1" customWidth="1"/>
    <col min="52" max="52" width="18.7109375" style="0" hidden="1" customWidth="1"/>
    <col min="53" max="53" width="14.7109375" style="0" hidden="1" customWidth="1"/>
    <col min="54" max="54" width="16.28125" style="0" hidden="1" customWidth="1"/>
    <col min="55" max="55" width="0.13671875" style="0" hidden="1" customWidth="1"/>
    <col min="56" max="59" width="28.7109375" style="0" customWidth="1"/>
  </cols>
  <sheetData>
    <row r="1" spans="1:59" s="13" customFormat="1" ht="30" customHeight="1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</row>
    <row r="2" spans="1:59" s="14" customFormat="1" ht="30" customHeight="1">
      <c r="A2" s="142" t="s">
        <v>26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</row>
    <row r="3" spans="1:59" s="2" customFormat="1" ht="48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2"/>
      <c r="X3" s="11"/>
      <c r="Y3" s="11"/>
      <c r="Z3" s="11"/>
      <c r="AA3" s="11"/>
      <c r="AB3" s="11"/>
      <c r="AC3" s="11"/>
      <c r="AD3" s="11"/>
      <c r="AE3" s="12"/>
      <c r="AF3" s="11"/>
      <c r="AG3" s="11"/>
      <c r="AH3" s="11"/>
      <c r="AI3" s="11"/>
      <c r="AJ3" s="11"/>
      <c r="AK3" s="11"/>
      <c r="AL3" s="11"/>
      <c r="AM3" s="12"/>
      <c r="AN3" s="7"/>
      <c r="AO3" s="7"/>
      <c r="AP3" s="7"/>
      <c r="AQ3" s="7"/>
      <c r="AR3" s="7"/>
      <c r="AS3" s="12"/>
      <c r="AT3" s="11"/>
      <c r="AU3" s="11"/>
      <c r="AV3" s="11"/>
      <c r="AW3" s="11"/>
      <c r="AX3" s="11"/>
      <c r="AY3" s="12"/>
      <c r="AZ3" s="11"/>
      <c r="BA3" s="11"/>
      <c r="BB3" s="11"/>
      <c r="BC3" s="11"/>
      <c r="BD3" s="7"/>
      <c r="BE3" s="7"/>
      <c r="BF3" s="7"/>
      <c r="BG3" s="7"/>
    </row>
    <row r="4" spans="1:59" s="2" customFormat="1" ht="18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6"/>
      <c r="X4" s="15"/>
      <c r="Y4" s="15"/>
      <c r="Z4" s="15"/>
      <c r="AA4" s="15"/>
      <c r="AB4" s="15"/>
      <c r="AC4" s="15"/>
      <c r="AD4" s="15"/>
      <c r="AE4" s="16"/>
      <c r="AF4" s="15"/>
      <c r="AG4" s="15"/>
      <c r="AH4" s="15"/>
      <c r="AI4" s="15"/>
      <c r="AJ4" s="15"/>
      <c r="AK4" s="15"/>
      <c r="AL4" s="15"/>
      <c r="AM4" s="16"/>
      <c r="AN4" s="15"/>
      <c r="AO4" s="15"/>
      <c r="AP4" s="15"/>
      <c r="AQ4" s="15"/>
      <c r="AR4" s="15"/>
      <c r="AS4" s="16"/>
      <c r="AT4" s="15"/>
      <c r="AU4" s="15"/>
      <c r="AV4" s="15"/>
      <c r="AW4" s="15"/>
      <c r="AX4" s="15"/>
      <c r="AY4" s="16"/>
      <c r="AZ4" s="15"/>
      <c r="BA4" s="15"/>
      <c r="BB4" s="15"/>
      <c r="BC4" s="15"/>
      <c r="BD4" s="15"/>
      <c r="BE4" s="15"/>
      <c r="BF4" s="15"/>
      <c r="BG4" s="15"/>
    </row>
    <row r="5" spans="1:59" s="2" customFormat="1" ht="24" customHeight="1">
      <c r="A5" s="21" t="s">
        <v>23</v>
      </c>
      <c r="B5" s="137">
        <v>2007</v>
      </c>
      <c r="C5" s="137"/>
      <c r="D5" s="137"/>
      <c r="E5" s="137"/>
      <c r="F5" s="137"/>
      <c r="G5" s="139"/>
      <c r="H5" s="22"/>
      <c r="I5" s="138">
        <v>2008</v>
      </c>
      <c r="J5" s="138"/>
      <c r="K5" s="138"/>
      <c r="L5" s="138"/>
      <c r="M5" s="138"/>
      <c r="N5" s="138"/>
      <c r="O5" s="138"/>
      <c r="P5" s="137">
        <v>2009</v>
      </c>
      <c r="Q5" s="137"/>
      <c r="R5" s="137"/>
      <c r="S5" s="137"/>
      <c r="T5" s="137"/>
      <c r="U5" s="137"/>
      <c r="V5" s="137"/>
      <c r="W5" s="140">
        <v>2010</v>
      </c>
      <c r="X5" s="140"/>
      <c r="Y5" s="140"/>
      <c r="Z5" s="140"/>
      <c r="AA5" s="140"/>
      <c r="AB5" s="140"/>
      <c r="AC5" s="140"/>
      <c r="AD5" s="140"/>
      <c r="AE5" s="137">
        <v>2011</v>
      </c>
      <c r="AF5" s="137"/>
      <c r="AG5" s="137"/>
      <c r="AH5" s="137"/>
      <c r="AI5" s="137"/>
      <c r="AJ5" s="137"/>
      <c r="AK5" s="137"/>
      <c r="AL5" s="137"/>
      <c r="AM5" s="138">
        <v>2012</v>
      </c>
      <c r="AN5" s="138"/>
      <c r="AO5" s="138"/>
      <c r="AP5" s="138"/>
      <c r="AQ5" s="138"/>
      <c r="AR5" s="138"/>
      <c r="AS5" s="137">
        <v>2013</v>
      </c>
      <c r="AT5" s="137"/>
      <c r="AU5" s="137"/>
      <c r="AV5" s="137"/>
      <c r="AW5" s="137"/>
      <c r="AX5" s="137"/>
      <c r="AY5" s="138" t="s">
        <v>25</v>
      </c>
      <c r="AZ5" s="138"/>
      <c r="BA5" s="138"/>
      <c r="BB5" s="138"/>
      <c r="BC5" s="138"/>
      <c r="BD5" s="137"/>
      <c r="BE5" s="137"/>
      <c r="BF5" s="137"/>
      <c r="BG5" s="137"/>
    </row>
    <row r="6" spans="1:59" s="2" customFormat="1" ht="42" customHeight="1">
      <c r="A6" s="23"/>
      <c r="B6" s="24" t="s">
        <v>0</v>
      </c>
      <c r="C6" s="24" t="s">
        <v>1</v>
      </c>
      <c r="D6" s="24" t="s">
        <v>2</v>
      </c>
      <c r="E6" s="25" t="s">
        <v>12</v>
      </c>
      <c r="F6" s="24" t="s">
        <v>3</v>
      </c>
      <c r="G6" s="25" t="s">
        <v>13</v>
      </c>
      <c r="H6" s="26" t="s">
        <v>17</v>
      </c>
      <c r="I6" s="27" t="s">
        <v>0</v>
      </c>
      <c r="J6" s="27" t="s">
        <v>1</v>
      </c>
      <c r="K6" s="27" t="s">
        <v>2</v>
      </c>
      <c r="L6" s="28" t="s">
        <v>12</v>
      </c>
      <c r="M6" s="27" t="s">
        <v>3</v>
      </c>
      <c r="N6" s="28" t="s">
        <v>19</v>
      </c>
      <c r="O6" s="28" t="s">
        <v>17</v>
      </c>
      <c r="P6" s="29" t="s">
        <v>0</v>
      </c>
      <c r="Q6" s="29" t="s">
        <v>1</v>
      </c>
      <c r="R6" s="29" t="s">
        <v>2</v>
      </c>
      <c r="S6" s="26" t="s">
        <v>12</v>
      </c>
      <c r="T6" s="29" t="s">
        <v>3</v>
      </c>
      <c r="U6" s="26" t="s">
        <v>13</v>
      </c>
      <c r="V6" s="26" t="s">
        <v>20</v>
      </c>
      <c r="W6" s="30" t="s">
        <v>22</v>
      </c>
      <c r="X6" s="31" t="s">
        <v>0</v>
      </c>
      <c r="Y6" s="31" t="s">
        <v>1</v>
      </c>
      <c r="Z6" s="31" t="s">
        <v>2</v>
      </c>
      <c r="AA6" s="32" t="s">
        <v>12</v>
      </c>
      <c r="AB6" s="31" t="s">
        <v>3</v>
      </c>
      <c r="AC6" s="32" t="s">
        <v>13</v>
      </c>
      <c r="AD6" s="28" t="s">
        <v>20</v>
      </c>
      <c r="AE6" s="33" t="s">
        <v>22</v>
      </c>
      <c r="AF6" s="29" t="s">
        <v>0</v>
      </c>
      <c r="AG6" s="29" t="s">
        <v>1</v>
      </c>
      <c r="AH6" s="29" t="s">
        <v>2</v>
      </c>
      <c r="AI6" s="26" t="s">
        <v>12</v>
      </c>
      <c r="AJ6" s="29" t="s">
        <v>3</v>
      </c>
      <c r="AK6" s="26" t="s">
        <v>13</v>
      </c>
      <c r="AL6" s="26" t="s">
        <v>20</v>
      </c>
      <c r="AM6" s="34" t="s">
        <v>22</v>
      </c>
      <c r="AN6" s="27" t="s">
        <v>0</v>
      </c>
      <c r="AO6" s="28" t="s">
        <v>12</v>
      </c>
      <c r="AP6" s="27" t="s">
        <v>3</v>
      </c>
      <c r="AQ6" s="28" t="s">
        <v>13</v>
      </c>
      <c r="AR6" s="28" t="s">
        <v>20</v>
      </c>
      <c r="AS6" s="33" t="s">
        <v>22</v>
      </c>
      <c r="AT6" s="29" t="s">
        <v>0</v>
      </c>
      <c r="AU6" s="26" t="s">
        <v>12</v>
      </c>
      <c r="AV6" s="29" t="s">
        <v>3</v>
      </c>
      <c r="AW6" s="26" t="s">
        <v>13</v>
      </c>
      <c r="AX6" s="26" t="s">
        <v>20</v>
      </c>
      <c r="AY6" s="34" t="s">
        <v>22</v>
      </c>
      <c r="AZ6" s="27" t="s">
        <v>0</v>
      </c>
      <c r="BA6" s="28" t="s">
        <v>12</v>
      </c>
      <c r="BB6" s="27" t="s">
        <v>3</v>
      </c>
      <c r="BC6" s="28" t="s">
        <v>13</v>
      </c>
      <c r="BD6" s="29" t="s">
        <v>0</v>
      </c>
      <c r="BE6" s="26" t="s">
        <v>12</v>
      </c>
      <c r="BF6" s="29" t="s">
        <v>3</v>
      </c>
      <c r="BG6" s="26" t="s">
        <v>13</v>
      </c>
    </row>
    <row r="7" spans="1:59" s="2" customFormat="1" ht="18" customHeight="1">
      <c r="A7" s="23" t="s">
        <v>10</v>
      </c>
      <c r="B7" s="35">
        <v>328023</v>
      </c>
      <c r="C7" s="35" t="s">
        <v>18</v>
      </c>
      <c r="D7" s="35">
        <v>466.98</v>
      </c>
      <c r="E7" s="36">
        <f>B7/B14</f>
        <v>0.002751323145956744</v>
      </c>
      <c r="F7" s="35">
        <v>21377.76</v>
      </c>
      <c r="G7" s="36">
        <f>F7/F14</f>
        <v>0.0021901039567287645</v>
      </c>
      <c r="H7" s="36">
        <f aca="true" t="shared" si="0" ref="H7:H14">F7/B7</f>
        <v>0.0651715276062959</v>
      </c>
      <c r="I7" s="37">
        <v>1613301.16</v>
      </c>
      <c r="J7" s="37">
        <v>27013.35</v>
      </c>
      <c r="K7" s="37">
        <v>338</v>
      </c>
      <c r="L7" s="38">
        <f>I7/I14</f>
        <v>0.011912098760342427</v>
      </c>
      <c r="M7" s="37">
        <f aca="true" t="shared" si="1" ref="M7:M13">J7-K7</f>
        <v>26675.35</v>
      </c>
      <c r="N7" s="39">
        <f aca="true" t="shared" si="2" ref="N7:N13">M7/$M$14</f>
        <v>0.002088917139187619</v>
      </c>
      <c r="O7" s="39">
        <f aca="true" t="shared" si="3" ref="O7:O14">M7/I7</f>
        <v>0.016534637587442138</v>
      </c>
      <c r="P7" s="40">
        <v>4781548.32</v>
      </c>
      <c r="Q7" s="35">
        <v>27177.24</v>
      </c>
      <c r="R7" s="35">
        <v>0</v>
      </c>
      <c r="S7" s="36">
        <f>P7/P14</f>
        <v>0.029484032392905098</v>
      </c>
      <c r="T7" s="40">
        <f aca="true" t="shared" si="4" ref="T7:T13">Q7-R7</f>
        <v>27177.24</v>
      </c>
      <c r="U7" s="36">
        <f>T7/T14</f>
        <v>0.001851736686338784</v>
      </c>
      <c r="V7" s="36">
        <f aca="true" t="shared" si="5" ref="V7:V14">T7/P7</f>
        <v>0.00568377399561655</v>
      </c>
      <c r="W7" s="41">
        <v>5799.39</v>
      </c>
      <c r="X7" s="41">
        <v>1123485</v>
      </c>
      <c r="Y7" s="41">
        <v>31046</v>
      </c>
      <c r="Z7" s="41">
        <v>324</v>
      </c>
      <c r="AA7" s="38">
        <f>X7/X14</f>
        <v>0.006341057868397537</v>
      </c>
      <c r="AB7" s="41">
        <f aca="true" t="shared" si="6" ref="AB7:AB13">Y7-Z7</f>
        <v>30722</v>
      </c>
      <c r="AC7" s="38">
        <f>AB7/AB14</f>
        <v>0.0020935037465280902</v>
      </c>
      <c r="AD7" s="39">
        <f aca="true" t="shared" si="7" ref="AD7:AD14">AB7/X7</f>
        <v>0.027345269407246204</v>
      </c>
      <c r="AE7" s="42">
        <v>5202.74</v>
      </c>
      <c r="AF7" s="40">
        <v>1167233</v>
      </c>
      <c r="AG7" s="35">
        <v>25781</v>
      </c>
      <c r="AH7" s="35">
        <v>699</v>
      </c>
      <c r="AI7" s="36">
        <f>AF7/AF14</f>
        <v>0.006401901095870601</v>
      </c>
      <c r="AJ7" s="40">
        <f aca="true" t="shared" si="8" ref="AJ7:AJ13">AG7-AH7</f>
        <v>25082</v>
      </c>
      <c r="AK7" s="36">
        <f>AJ7/AJ14</f>
        <v>0.0018625865313354453</v>
      </c>
      <c r="AL7" s="36">
        <f aca="true" t="shared" si="9" ref="AL7:AL14">AJ7/AF7</f>
        <v>0.021488426046898948</v>
      </c>
      <c r="AM7" s="43">
        <v>3450.23</v>
      </c>
      <c r="AN7" s="44">
        <v>679941</v>
      </c>
      <c r="AO7" s="39">
        <f>AN7/AN14</f>
        <v>0.003506854393524712</v>
      </c>
      <c r="AP7" s="45">
        <v>24003</v>
      </c>
      <c r="AQ7" s="39">
        <f>AP7/AP14</f>
        <v>0.0016198700824107133</v>
      </c>
      <c r="AR7" s="39">
        <f aca="true" t="shared" si="10" ref="AR7:AR14">AP7/AN7</f>
        <v>0.035301592344041614</v>
      </c>
      <c r="AS7" s="42">
        <v>2849</v>
      </c>
      <c r="AT7" s="40">
        <v>576518</v>
      </c>
      <c r="AU7" s="36">
        <f>AT7/AT14</f>
        <v>0.002970624073077647</v>
      </c>
      <c r="AV7" s="40">
        <v>22702</v>
      </c>
      <c r="AW7" s="36">
        <f>AV7/AV14</f>
        <v>0.0016594837574244391</v>
      </c>
      <c r="AX7" s="36">
        <f aca="true" t="shared" si="11" ref="AX7:AX14">AV7/AT7</f>
        <v>0.03937778178651837</v>
      </c>
      <c r="AY7" s="43" t="e">
        <f>#REF!</f>
        <v>#REF!</v>
      </c>
      <c r="AZ7" s="44" t="e">
        <f>#REF!</f>
        <v>#REF!</v>
      </c>
      <c r="BA7" s="39" t="e">
        <f>AZ7/AZ14</f>
        <v>#REF!</v>
      </c>
      <c r="BB7" s="45" t="e">
        <f>-#REF!</f>
        <v>#REF!</v>
      </c>
      <c r="BC7" s="39" t="e">
        <f>BB7/BB14</f>
        <v>#REF!</v>
      </c>
      <c r="BD7" s="40">
        <v>54659</v>
      </c>
      <c r="BE7" s="46">
        <f>BD7/BD14</f>
        <v>0.0003703372210419079</v>
      </c>
      <c r="BF7" s="35">
        <v>18739</v>
      </c>
      <c r="BG7" s="36">
        <f>BF7/BF14</f>
        <v>0.0019450658757555568</v>
      </c>
    </row>
    <row r="8" spans="1:59" s="2" customFormat="1" ht="18" customHeight="1">
      <c r="A8" s="23" t="s">
        <v>5</v>
      </c>
      <c r="B8" s="35">
        <v>1894784.04</v>
      </c>
      <c r="C8" s="35">
        <v>35710.22</v>
      </c>
      <c r="D8" s="35">
        <v>279.15</v>
      </c>
      <c r="E8" s="36">
        <f>B8/B14</f>
        <v>0.0158926757753006</v>
      </c>
      <c r="F8" s="35">
        <v>401085.32</v>
      </c>
      <c r="G8" s="36">
        <f>F8/F14</f>
        <v>0.04109029881137326</v>
      </c>
      <c r="H8" s="36">
        <f t="shared" si="0"/>
        <v>0.2116786459738177</v>
      </c>
      <c r="I8" s="37">
        <v>10001802.38</v>
      </c>
      <c r="J8" s="37">
        <v>3609640.97</v>
      </c>
      <c r="K8" s="37">
        <v>45999.55</v>
      </c>
      <c r="L8" s="38">
        <f>I8/I14</f>
        <v>0.07385010355536344</v>
      </c>
      <c r="M8" s="37">
        <f t="shared" si="1"/>
        <v>3563641.4200000004</v>
      </c>
      <c r="N8" s="39">
        <f t="shared" si="2"/>
        <v>0.27906481602516575</v>
      </c>
      <c r="O8" s="39">
        <f t="shared" si="3"/>
        <v>0.3562999232144397</v>
      </c>
      <c r="P8" s="40">
        <v>12267131.7</v>
      </c>
      <c r="Q8" s="35">
        <v>5276878.46</v>
      </c>
      <c r="R8" s="35">
        <v>37951.92</v>
      </c>
      <c r="S8" s="36">
        <f>P8/P14</f>
        <v>0.0756417135633658</v>
      </c>
      <c r="T8" s="40">
        <f t="shared" si="4"/>
        <v>5238926.54</v>
      </c>
      <c r="U8" s="36">
        <f>T8/T14</f>
        <v>0.3569572359500785</v>
      </c>
      <c r="V8" s="36">
        <f t="shared" si="5"/>
        <v>0.42707021234637926</v>
      </c>
      <c r="W8" s="41">
        <v>48069.95</v>
      </c>
      <c r="X8" s="41">
        <v>7652955</v>
      </c>
      <c r="Y8" s="41">
        <v>3294236</v>
      </c>
      <c r="Z8" s="41">
        <v>30168</v>
      </c>
      <c r="AA8" s="38">
        <f>X8/X14</f>
        <v>0.043194017293726454</v>
      </c>
      <c r="AB8" s="41">
        <f t="shared" si="6"/>
        <v>3264068</v>
      </c>
      <c r="AC8" s="38">
        <f>AB8/AB14</f>
        <v>0.22242492633690678</v>
      </c>
      <c r="AD8" s="39">
        <f t="shared" si="7"/>
        <v>0.4265108053033109</v>
      </c>
      <c r="AE8" s="42">
        <v>9143.67</v>
      </c>
      <c r="AF8" s="40">
        <v>1727136</v>
      </c>
      <c r="AG8" s="35">
        <v>505726</v>
      </c>
      <c r="AH8" s="35">
        <v>8132</v>
      </c>
      <c r="AI8" s="36">
        <f>AF8/AF14</f>
        <v>0.009472790652009982</v>
      </c>
      <c r="AJ8" s="40">
        <f t="shared" si="8"/>
        <v>497594</v>
      </c>
      <c r="AK8" s="36">
        <f>AJ8/AJ14</f>
        <v>0.03695127511655089</v>
      </c>
      <c r="AL8" s="36">
        <f t="shared" si="9"/>
        <v>0.2881035425119967</v>
      </c>
      <c r="AM8" s="43">
        <v>12572.98</v>
      </c>
      <c r="AN8" s="44">
        <v>2498923</v>
      </c>
      <c r="AO8" s="39">
        <f>AN8/AN14</f>
        <v>0.01288841105570918</v>
      </c>
      <c r="AP8" s="45">
        <v>624818</v>
      </c>
      <c r="AQ8" s="39">
        <f>AP8/AP14</f>
        <v>0.04216656189441724</v>
      </c>
      <c r="AR8" s="39">
        <f t="shared" si="10"/>
        <v>0.25003491504139985</v>
      </c>
      <c r="AS8" s="42">
        <v>10915</v>
      </c>
      <c r="AT8" s="40">
        <v>2123724</v>
      </c>
      <c r="AU8" s="36">
        <f>AT8/AT14</f>
        <v>0.010942911824041491</v>
      </c>
      <c r="AV8" s="40">
        <v>597051</v>
      </c>
      <c r="AW8" s="36">
        <f>AV8/AV14</f>
        <v>0.043643574876839876</v>
      </c>
      <c r="AX8" s="36">
        <f t="shared" si="11"/>
        <v>0.28113398916243354</v>
      </c>
      <c r="AY8" s="43" t="e">
        <f>#REF!</f>
        <v>#REF!</v>
      </c>
      <c r="AZ8" s="44" t="e">
        <f>#REF!</f>
        <v>#REF!</v>
      </c>
      <c r="BA8" s="39" t="e">
        <f>AZ8/AZ14</f>
        <v>#REF!</v>
      </c>
      <c r="BB8" s="45" t="e">
        <f>-#REF!</f>
        <v>#REF!</v>
      </c>
      <c r="BC8" s="39" t="e">
        <f>BB8/BB14</f>
        <v>#REF!</v>
      </c>
      <c r="BD8" s="40">
        <v>2665561</v>
      </c>
      <c r="BE8" s="46">
        <f>BD8/BD14</f>
        <v>0.018060272841758703</v>
      </c>
      <c r="BF8" s="35">
        <v>558659</v>
      </c>
      <c r="BG8" s="36">
        <f>BF8/BF14</f>
        <v>0.05798754240267483</v>
      </c>
    </row>
    <row r="9" spans="1:59" s="2" customFormat="1" ht="18" customHeight="1">
      <c r="A9" s="23" t="s">
        <v>6</v>
      </c>
      <c r="B9" s="35">
        <v>14645640.09</v>
      </c>
      <c r="C9" s="35">
        <v>380577.8</v>
      </c>
      <c r="D9" s="35">
        <v>1374.51</v>
      </c>
      <c r="E9" s="36">
        <f>B9/B14</f>
        <v>0.1228416561246285</v>
      </c>
      <c r="F9" s="35">
        <v>6614893.1</v>
      </c>
      <c r="G9" s="36">
        <f>F9/F14</f>
        <v>0.6776810831278769</v>
      </c>
      <c r="H9" s="36">
        <f t="shared" si="0"/>
        <v>0.451662956303059</v>
      </c>
      <c r="I9" s="37">
        <v>21710976.03</v>
      </c>
      <c r="J9" s="37">
        <v>6114221.63</v>
      </c>
      <c r="K9" s="37">
        <v>38036.43</v>
      </c>
      <c r="L9" s="38">
        <f>I9/I14</f>
        <v>0.16030688941721655</v>
      </c>
      <c r="M9" s="37">
        <f t="shared" si="1"/>
        <v>6076185.2</v>
      </c>
      <c r="N9" s="39">
        <f t="shared" si="2"/>
        <v>0.4758193390211619</v>
      </c>
      <c r="O9" s="39">
        <f t="shared" si="3"/>
        <v>0.2798669756534202</v>
      </c>
      <c r="P9" s="40">
        <v>24983499.11</v>
      </c>
      <c r="Q9" s="35">
        <v>6455608.54</v>
      </c>
      <c r="R9" s="35">
        <v>76364.39</v>
      </c>
      <c r="S9" s="36">
        <f>P9/P14</f>
        <v>0.1540535089787309</v>
      </c>
      <c r="T9" s="40">
        <f t="shared" si="4"/>
        <v>6379244.15</v>
      </c>
      <c r="U9" s="36">
        <f>T9/T14</f>
        <v>0.4346534241029285</v>
      </c>
      <c r="V9" s="36">
        <f t="shared" si="5"/>
        <v>0.25533829836696564</v>
      </c>
      <c r="W9" s="41">
        <v>143634.58</v>
      </c>
      <c r="X9" s="41">
        <v>25032208</v>
      </c>
      <c r="Y9" s="41">
        <v>8303556</v>
      </c>
      <c r="Z9" s="41">
        <v>36352</v>
      </c>
      <c r="AA9" s="38">
        <f>X9/X14</f>
        <v>0.14128420005764541</v>
      </c>
      <c r="AB9" s="41">
        <f t="shared" si="6"/>
        <v>8267204</v>
      </c>
      <c r="AC9" s="38">
        <f>AB9/AB14</f>
        <v>0.5633559842234234</v>
      </c>
      <c r="AD9" s="39">
        <f t="shared" si="7"/>
        <v>0.3302626759892695</v>
      </c>
      <c r="AE9" s="42">
        <v>175635.18</v>
      </c>
      <c r="AF9" s="40">
        <v>31991069</v>
      </c>
      <c r="AG9" s="35">
        <v>9808638</v>
      </c>
      <c r="AH9" s="35">
        <v>73470</v>
      </c>
      <c r="AI9" s="36">
        <f>AF9/AF14</f>
        <v>0.17546082032393878</v>
      </c>
      <c r="AJ9" s="40">
        <f t="shared" si="8"/>
        <v>9735168</v>
      </c>
      <c r="AK9" s="36">
        <f>AJ9/AJ14</f>
        <v>0.722932493305471</v>
      </c>
      <c r="AL9" s="36">
        <f t="shared" si="9"/>
        <v>0.3043089307206333</v>
      </c>
      <c r="AM9" s="43">
        <v>195653.63</v>
      </c>
      <c r="AN9" s="44">
        <v>35459978</v>
      </c>
      <c r="AO9" s="39">
        <f>AN9/AN14</f>
        <v>0.18288789710223335</v>
      </c>
      <c r="AP9" s="45">
        <v>10318710</v>
      </c>
      <c r="AQ9" s="39">
        <f>AP9/AP14</f>
        <v>0.6963700211670313</v>
      </c>
      <c r="AR9" s="39">
        <f t="shared" si="10"/>
        <v>0.2909959504204994</v>
      </c>
      <c r="AS9" s="42">
        <v>175572</v>
      </c>
      <c r="AT9" s="40">
        <v>31615274</v>
      </c>
      <c r="AU9" s="36">
        <f>AT9/AT14</f>
        <v>0.16290400997253482</v>
      </c>
      <c r="AV9" s="40">
        <v>9039410</v>
      </c>
      <c r="AW9" s="36">
        <f>AV9/AV14</f>
        <v>0.6607679531186701</v>
      </c>
      <c r="AX9" s="36">
        <f t="shared" si="11"/>
        <v>0.28591907822782114</v>
      </c>
      <c r="AY9" s="43" t="e">
        <f>#REF!</f>
        <v>#REF!</v>
      </c>
      <c r="AZ9" s="44" t="e">
        <f>#REF!</f>
        <v>#REF!</v>
      </c>
      <c r="BA9" s="39" t="e">
        <f>AZ9/AZ14</f>
        <v>#REF!</v>
      </c>
      <c r="BB9" s="45" t="e">
        <f>-#REF!</f>
        <v>#REF!</v>
      </c>
      <c r="BC9" s="39" t="e">
        <f>BB9/BB14</f>
        <v>#REF!</v>
      </c>
      <c r="BD9" s="40">
        <v>26125143</v>
      </c>
      <c r="BE9" s="46">
        <f>BD9/BD14</f>
        <v>0.17700859616792208</v>
      </c>
      <c r="BF9" s="35">
        <v>5850585</v>
      </c>
      <c r="BG9" s="36">
        <f>BF9/BF14</f>
        <v>0.6072775087628648</v>
      </c>
    </row>
    <row r="10" spans="1:59" s="2" customFormat="1" ht="18" customHeight="1">
      <c r="A10" s="23" t="s">
        <v>7</v>
      </c>
      <c r="B10" s="35">
        <v>9103094.53</v>
      </c>
      <c r="C10" s="35">
        <v>392928.58</v>
      </c>
      <c r="D10" s="35">
        <v>1254.18</v>
      </c>
      <c r="E10" s="36">
        <f>B10/B14</f>
        <v>0.07635304439085439</v>
      </c>
      <c r="F10" s="35">
        <v>2155930.84</v>
      </c>
      <c r="G10" s="36">
        <f>F10/F14</f>
        <v>0.2208703186450577</v>
      </c>
      <c r="H10" s="36">
        <f t="shared" si="0"/>
        <v>0.23683493925004864</v>
      </c>
      <c r="I10" s="37">
        <v>10611280</v>
      </c>
      <c r="J10" s="37">
        <v>2444125.87</v>
      </c>
      <c r="K10" s="37">
        <v>3535.9</v>
      </c>
      <c r="L10" s="38">
        <f>I10/I14</f>
        <v>0.078350290985749</v>
      </c>
      <c r="M10" s="37">
        <f t="shared" si="1"/>
        <v>2440589.97</v>
      </c>
      <c r="N10" s="39">
        <f t="shared" si="2"/>
        <v>0.19111989975998056</v>
      </c>
      <c r="O10" s="39">
        <f t="shared" si="3"/>
        <v>0.22999958251973374</v>
      </c>
      <c r="P10" s="40">
        <v>11306753.43</v>
      </c>
      <c r="Q10" s="35">
        <v>2662789.42</v>
      </c>
      <c r="R10" s="35">
        <v>7539.16</v>
      </c>
      <c r="S10" s="36">
        <f>P10/P14</f>
        <v>0.06971981920465269</v>
      </c>
      <c r="T10" s="40">
        <f t="shared" si="4"/>
        <v>2655250.26</v>
      </c>
      <c r="U10" s="36">
        <f>T10/T14</f>
        <v>0.18091698486868402</v>
      </c>
      <c r="V10" s="36">
        <f t="shared" si="5"/>
        <v>0.23483754876575563</v>
      </c>
      <c r="W10" s="41">
        <v>66689.12</v>
      </c>
      <c r="X10" s="41">
        <v>11629904</v>
      </c>
      <c r="Y10" s="41">
        <v>2741720</v>
      </c>
      <c r="Z10" s="41">
        <v>8474</v>
      </c>
      <c r="AA10" s="38">
        <f>X10/X14</f>
        <v>0.06564030162210265</v>
      </c>
      <c r="AB10" s="41">
        <f t="shared" si="6"/>
        <v>2733246</v>
      </c>
      <c r="AC10" s="38">
        <f>AB10/AB14</f>
        <v>0.18625287224734444</v>
      </c>
      <c r="AD10" s="39">
        <f t="shared" si="7"/>
        <v>0.2350187929324266</v>
      </c>
      <c r="AE10" s="42">
        <v>62681.06</v>
      </c>
      <c r="AF10" s="40">
        <v>11420334</v>
      </c>
      <c r="AG10" s="35">
        <v>2873558</v>
      </c>
      <c r="AH10" s="35">
        <v>20423</v>
      </c>
      <c r="AI10" s="36">
        <f>AF10/AF14</f>
        <v>0.06263689319082676</v>
      </c>
      <c r="AJ10" s="40">
        <f t="shared" si="8"/>
        <v>2853135</v>
      </c>
      <c r="AK10" s="36">
        <f>AJ10/AJ14</f>
        <v>0.21187348788301394</v>
      </c>
      <c r="AL10" s="36">
        <f t="shared" si="9"/>
        <v>0.2498293832737291</v>
      </c>
      <c r="AM10" s="43">
        <v>79144.59</v>
      </c>
      <c r="AN10" s="44">
        <v>14074711</v>
      </c>
      <c r="AO10" s="39">
        <f>AN10/AN14</f>
        <v>0.07259153677736832</v>
      </c>
      <c r="AP10" s="45">
        <v>3427703</v>
      </c>
      <c r="AQ10" s="39">
        <f>AP10/AP14</f>
        <v>0.2313224822351143</v>
      </c>
      <c r="AR10" s="39">
        <f t="shared" si="10"/>
        <v>0.24353629712183789</v>
      </c>
      <c r="AS10" s="42">
        <v>81324</v>
      </c>
      <c r="AT10" s="40">
        <v>14806770</v>
      </c>
      <c r="AU10" s="36">
        <f>AT10/AT14</f>
        <v>0.07629483798688663</v>
      </c>
      <c r="AV10" s="40">
        <v>3506035</v>
      </c>
      <c r="AW10" s="36">
        <f>AV10/AV14</f>
        <v>0.25628614815706074</v>
      </c>
      <c r="AX10" s="36">
        <f t="shared" si="11"/>
        <v>0.23678594318679902</v>
      </c>
      <c r="AY10" s="43" t="e">
        <f>#REF!</f>
        <v>#REF!</v>
      </c>
      <c r="AZ10" s="44" t="e">
        <f>#REF!</f>
        <v>#REF!</v>
      </c>
      <c r="BA10" s="39" t="e">
        <f>AZ10/AZ14</f>
        <v>#REF!</v>
      </c>
      <c r="BB10" s="45" t="e">
        <f>-#REF!</f>
        <v>#REF!</v>
      </c>
      <c r="BC10" s="39" t="e">
        <f>BB10/BB14</f>
        <v>#REF!</v>
      </c>
      <c r="BD10" s="40">
        <v>12720107</v>
      </c>
      <c r="BE10" s="46">
        <f>BD10/BD14</f>
        <v>0.0861839601481132</v>
      </c>
      <c r="BF10" s="35">
        <v>2779573</v>
      </c>
      <c r="BG10" s="36">
        <f>BF10/BF14</f>
        <v>0.2885133994061316</v>
      </c>
    </row>
    <row r="11" spans="1:59" s="2" customFormat="1" ht="18" customHeight="1">
      <c r="A11" s="23" t="s">
        <v>8</v>
      </c>
      <c r="B11" s="35">
        <v>2390455.38</v>
      </c>
      <c r="C11" s="35">
        <v>54992.8</v>
      </c>
      <c r="D11" s="35">
        <v>0</v>
      </c>
      <c r="E11" s="36">
        <f>B11/B14</f>
        <v>0.020050164824938568</v>
      </c>
      <c r="F11" s="35">
        <v>104611.73</v>
      </c>
      <c r="G11" s="36">
        <f>F11/F14</f>
        <v>0.010717239027533344</v>
      </c>
      <c r="H11" s="36">
        <f t="shared" si="0"/>
        <v>0.04376226005942014</v>
      </c>
      <c r="I11" s="37">
        <v>1977645.85</v>
      </c>
      <c r="J11" s="37">
        <v>67777.29</v>
      </c>
      <c r="K11" s="37">
        <v>2694.72</v>
      </c>
      <c r="L11" s="38">
        <f>I11/I14</f>
        <v>0.01460230319191077</v>
      </c>
      <c r="M11" s="37">
        <f t="shared" si="1"/>
        <v>65082.56999999999</v>
      </c>
      <c r="N11" s="39">
        <f t="shared" si="2"/>
        <v>0.005096544035425137</v>
      </c>
      <c r="O11" s="39">
        <f t="shared" si="3"/>
        <v>0.032909112619936474</v>
      </c>
      <c r="P11" s="40">
        <v>2573092.26</v>
      </c>
      <c r="Q11" s="35">
        <v>84877.25</v>
      </c>
      <c r="R11" s="35">
        <v>2120.3</v>
      </c>
      <c r="S11" s="36">
        <f>P11/P14</f>
        <v>0.015866227938437602</v>
      </c>
      <c r="T11" s="40">
        <f t="shared" si="4"/>
        <v>82756.95</v>
      </c>
      <c r="U11" s="36">
        <f>T11/T14</f>
        <v>0.005638691801099171</v>
      </c>
      <c r="V11" s="36">
        <f t="shared" si="5"/>
        <v>0.032162449550098914</v>
      </c>
      <c r="W11" s="41">
        <v>7874.27</v>
      </c>
      <c r="X11" s="41">
        <f>3092538+112299+82539</f>
        <v>3287376</v>
      </c>
      <c r="Y11" s="41">
        <v>113262</v>
      </c>
      <c r="Z11" s="41">
        <f>8264-1</f>
        <v>8263</v>
      </c>
      <c r="AA11" s="38">
        <f>X11/X14</f>
        <v>0.018554267703779954</v>
      </c>
      <c r="AB11" s="41">
        <f t="shared" si="6"/>
        <v>104999</v>
      </c>
      <c r="AC11" s="38">
        <f>AB11/AB14</f>
        <v>0.007154996415653373</v>
      </c>
      <c r="AD11" s="39">
        <f t="shared" si="7"/>
        <v>0.03194006405108512</v>
      </c>
      <c r="AE11" s="42">
        <v>6065.01</v>
      </c>
      <c r="AF11" s="40">
        <v>1600072</v>
      </c>
      <c r="AG11" s="35">
        <v>114398</v>
      </c>
      <c r="AH11" s="35">
        <v>9833</v>
      </c>
      <c r="AI11" s="36">
        <f>AF11/AF14</f>
        <v>0.008775885097724161</v>
      </c>
      <c r="AJ11" s="40">
        <f t="shared" si="8"/>
        <v>104565</v>
      </c>
      <c r="AK11" s="36">
        <f>AJ11/AJ14</f>
        <v>0.0077649852742640475</v>
      </c>
      <c r="AL11" s="36">
        <f t="shared" si="9"/>
        <v>0.06535018424170912</v>
      </c>
      <c r="AM11" s="43">
        <v>5061.6</v>
      </c>
      <c r="AN11" s="44">
        <v>1419250</v>
      </c>
      <c r="AO11" s="39">
        <f>AN11/AN14</f>
        <v>0.007319904371129183</v>
      </c>
      <c r="AP11" s="45">
        <v>88237</v>
      </c>
      <c r="AQ11" s="39">
        <f>AP11/AP14</f>
        <v>0.00595477550563155</v>
      </c>
      <c r="AR11" s="39">
        <f t="shared" si="10"/>
        <v>0.06217156949092831</v>
      </c>
      <c r="AS11" s="42">
        <v>3034</v>
      </c>
      <c r="AT11" s="40">
        <v>614829</v>
      </c>
      <c r="AU11" s="36">
        <f>AT11/AT14</f>
        <v>0.003168029147791147</v>
      </c>
      <c r="AV11" s="40">
        <v>94115</v>
      </c>
      <c r="AW11" s="36">
        <f>AV11/AV14</f>
        <v>0.00687967200378826</v>
      </c>
      <c r="AX11" s="36">
        <f t="shared" si="11"/>
        <v>0.1530750826652614</v>
      </c>
      <c r="AY11" s="43" t="e">
        <f>#REF!</f>
        <v>#REF!</v>
      </c>
      <c r="AZ11" s="44" t="e">
        <f>#REF!</f>
        <v>#REF!</v>
      </c>
      <c r="BA11" s="39" t="e">
        <f>AZ11/AZ14</f>
        <v>#REF!</v>
      </c>
      <c r="BB11" s="45" t="e">
        <f>-#REF!</f>
        <v>#REF!</v>
      </c>
      <c r="BC11" s="39" t="e">
        <f>BB11/BB14</f>
        <v>#REF!</v>
      </c>
      <c r="BD11" s="40">
        <v>3592501</v>
      </c>
      <c r="BE11" s="46">
        <f>BD11/BD14</f>
        <v>0.024340672843086684</v>
      </c>
      <c r="BF11" s="35">
        <v>69611</v>
      </c>
      <c r="BG11" s="36">
        <f>BF11/BF14</f>
        <v>0.007225464575335933</v>
      </c>
    </row>
    <row r="12" spans="1:59" s="2" customFormat="1" ht="18" customHeight="1">
      <c r="A12" s="23" t="s">
        <v>9</v>
      </c>
      <c r="B12" s="35">
        <v>64417996.85</v>
      </c>
      <c r="C12" s="35">
        <v>647742.38</v>
      </c>
      <c r="D12" s="35">
        <v>1063.48</v>
      </c>
      <c r="E12" s="47">
        <f>B12/B14</f>
        <v>0.5403118859030422</v>
      </c>
      <c r="F12" s="35">
        <v>460944.53</v>
      </c>
      <c r="G12" s="47">
        <f>F12/F14</f>
        <v>0.04722274171781706</v>
      </c>
      <c r="H12" s="36">
        <f t="shared" si="0"/>
        <v>0.007155524116549738</v>
      </c>
      <c r="I12" s="48">
        <v>68588250.86</v>
      </c>
      <c r="J12" s="48">
        <v>643687.69</v>
      </c>
      <c r="K12" s="48">
        <v>49771.35</v>
      </c>
      <c r="L12" s="38">
        <f>I12/I14</f>
        <v>0.5064336642784423</v>
      </c>
      <c r="M12" s="37">
        <f t="shared" si="1"/>
        <v>593916.34</v>
      </c>
      <c r="N12" s="39">
        <f t="shared" si="2"/>
        <v>0.046508931349338666</v>
      </c>
      <c r="O12" s="39">
        <f t="shared" si="3"/>
        <v>0.008659155650612548</v>
      </c>
      <c r="P12" s="40">
        <v>80424455.26</v>
      </c>
      <c r="Q12" s="49">
        <v>315868.66</v>
      </c>
      <c r="R12" s="49">
        <v>28246.12</v>
      </c>
      <c r="S12" s="50">
        <f>P12/P14</f>
        <v>0.4959141025824846</v>
      </c>
      <c r="T12" s="40">
        <f t="shared" si="4"/>
        <v>287622.54</v>
      </c>
      <c r="U12" s="50">
        <f>T12/T14</f>
        <v>0.019597325156489192</v>
      </c>
      <c r="V12" s="36">
        <f t="shared" si="5"/>
        <v>0.003576306971183829</v>
      </c>
      <c r="W12" s="51">
        <v>214678.05</v>
      </c>
      <c r="X12" s="51">
        <v>73672529</v>
      </c>
      <c r="Y12" s="51">
        <v>280487</v>
      </c>
      <c r="Z12" s="51">
        <v>7438</v>
      </c>
      <c r="AA12" s="52">
        <f>X12/X14</f>
        <v>0.41581487042568055</v>
      </c>
      <c r="AB12" s="41">
        <f t="shared" si="6"/>
        <v>273049</v>
      </c>
      <c r="AC12" s="52">
        <f>AB12/AB14</f>
        <v>0.01860650688385354</v>
      </c>
      <c r="AD12" s="39">
        <f t="shared" si="7"/>
        <v>0.003706252570751304</v>
      </c>
      <c r="AE12" s="42">
        <v>174310.78</v>
      </c>
      <c r="AF12" s="40">
        <v>38436747</v>
      </c>
      <c r="AG12" s="53">
        <v>256450</v>
      </c>
      <c r="AH12" s="53">
        <v>5270</v>
      </c>
      <c r="AI12" s="47">
        <f>AF12/AF14</f>
        <v>0.21081331040246554</v>
      </c>
      <c r="AJ12" s="40">
        <f t="shared" si="8"/>
        <v>251180</v>
      </c>
      <c r="AK12" s="47">
        <f>AJ12/AJ14</f>
        <v>0.018652598873328968</v>
      </c>
      <c r="AL12" s="36">
        <f t="shared" si="9"/>
        <v>0.006534892247775287</v>
      </c>
      <c r="AM12" s="43">
        <v>220233.04</v>
      </c>
      <c r="AN12" s="44">
        <v>43789157</v>
      </c>
      <c r="AO12" s="54">
        <f>AN12/AN14</f>
        <v>0.22584635669005607</v>
      </c>
      <c r="AP12" s="45">
        <v>329586</v>
      </c>
      <c r="AQ12" s="54">
        <f>AP12/AP14</f>
        <v>0.02224249056290536</v>
      </c>
      <c r="AR12" s="39">
        <f t="shared" si="10"/>
        <v>0.0075266577979566955</v>
      </c>
      <c r="AS12" s="42">
        <v>308063</v>
      </c>
      <c r="AT12" s="40">
        <v>61932012</v>
      </c>
      <c r="AU12" s="47">
        <f>AT12/AT14</f>
        <v>0.31911705400583107</v>
      </c>
      <c r="AV12" s="40">
        <v>414645</v>
      </c>
      <c r="AW12" s="47">
        <f>AV12/AV14</f>
        <v>0.03030995694640369</v>
      </c>
      <c r="AX12" s="47">
        <f t="shared" si="11"/>
        <v>0.006695164368307621</v>
      </c>
      <c r="AY12" s="43" t="e">
        <f>#REF!</f>
        <v>#REF!</v>
      </c>
      <c r="AZ12" s="44" t="e">
        <f>#REF!</f>
        <v>#REF!</v>
      </c>
      <c r="BA12" s="54" t="e">
        <f>AZ12/AZ14</f>
        <v>#REF!</v>
      </c>
      <c r="BB12" s="45" t="e">
        <f>-#REF!</f>
        <v>#REF!</v>
      </c>
      <c r="BC12" s="54" t="e">
        <f>BB12/BB14</f>
        <v>#REF!</v>
      </c>
      <c r="BD12" s="40">
        <v>34628575</v>
      </c>
      <c r="BE12" s="46">
        <f>BD12/BD14</f>
        <v>0.2346228477312297</v>
      </c>
      <c r="BF12" s="53">
        <v>356954</v>
      </c>
      <c r="BG12" s="47">
        <f>BF12/BF14</f>
        <v>0.03705101897723726</v>
      </c>
    </row>
    <row r="13" spans="1:59" s="2" customFormat="1" ht="18" customHeight="1">
      <c r="A13" s="23" t="s">
        <v>4</v>
      </c>
      <c r="B13" s="35">
        <v>26443733.24</v>
      </c>
      <c r="C13" s="35">
        <v>95505.43</v>
      </c>
      <c r="D13" s="35">
        <v>348.5</v>
      </c>
      <c r="E13" s="36">
        <f>B13/B14</f>
        <v>0.221799249835279</v>
      </c>
      <c r="F13" s="35">
        <v>2227.62</v>
      </c>
      <c r="G13" s="36">
        <f>F13/F14</f>
        <v>0.00022821471361303197</v>
      </c>
      <c r="H13" s="36">
        <f t="shared" si="0"/>
        <v>8.423999666697591E-05</v>
      </c>
      <c r="I13" s="37">
        <v>20930573.85</v>
      </c>
      <c r="J13" s="37">
        <v>4659.08</v>
      </c>
      <c r="K13" s="37">
        <v>808.27</v>
      </c>
      <c r="L13" s="38">
        <f>I13/I14</f>
        <v>0.15454464981097557</v>
      </c>
      <c r="M13" s="37">
        <f t="shared" si="1"/>
        <v>3850.81</v>
      </c>
      <c r="N13" s="39">
        <f t="shared" si="2"/>
        <v>0.00030155266974023117</v>
      </c>
      <c r="O13" s="39">
        <f t="shared" si="3"/>
        <v>0.00018398014443354594</v>
      </c>
      <c r="P13" s="40">
        <v>25837684.44</v>
      </c>
      <c r="Q13" s="35">
        <v>8526.04</v>
      </c>
      <c r="R13" s="35">
        <v>2881.39</v>
      </c>
      <c r="S13" s="36">
        <f>P13/P14</f>
        <v>0.15932059533942344</v>
      </c>
      <c r="T13" s="40">
        <f t="shared" si="4"/>
        <v>5644.6500000000015</v>
      </c>
      <c r="U13" s="36">
        <f>T13/T14</f>
        <v>0.0003846014343819394</v>
      </c>
      <c r="V13" s="36">
        <f t="shared" si="5"/>
        <v>0.00021846578446717808</v>
      </c>
      <c r="W13" s="51">
        <v>429209.05</v>
      </c>
      <c r="X13" s="51">
        <v>54777816</v>
      </c>
      <c r="Y13" s="51">
        <v>2934</v>
      </c>
      <c r="Z13" s="51">
        <v>1302</v>
      </c>
      <c r="AA13" s="52">
        <f>X13/X14</f>
        <v>0.3091712850286675</v>
      </c>
      <c r="AB13" s="51">
        <f t="shared" si="6"/>
        <v>1632</v>
      </c>
      <c r="AC13" s="52">
        <f>AB13/AB14</f>
        <v>0.00011121014629040567</v>
      </c>
      <c r="AD13" s="54">
        <f t="shared" si="7"/>
        <v>2.9793082659593438E-05</v>
      </c>
      <c r="AE13" s="55">
        <v>473579.83</v>
      </c>
      <c r="AF13" s="56">
        <v>95983406</v>
      </c>
      <c r="AG13" s="53">
        <v>3917</v>
      </c>
      <c r="AH13" s="53">
        <v>4421</v>
      </c>
      <c r="AI13" s="47">
        <f>AF13/AF14</f>
        <v>0.5264383992371642</v>
      </c>
      <c r="AJ13" s="56">
        <f t="shared" si="8"/>
        <v>-504</v>
      </c>
      <c r="AK13" s="47">
        <f>AJ13/AJ14</f>
        <v>-3.742698396431961E-05</v>
      </c>
      <c r="AL13" s="36">
        <f t="shared" si="9"/>
        <v>-5.250907641264574E-06</v>
      </c>
      <c r="AM13" s="43">
        <v>476767.39999999997</v>
      </c>
      <c r="AN13" s="44">
        <v>95967185</v>
      </c>
      <c r="AO13" s="54">
        <f>AN13/AN14</f>
        <v>0.4949590396099792</v>
      </c>
      <c r="AP13" s="44">
        <v>4798</v>
      </c>
      <c r="AQ13" s="57">
        <f>AP13/AP14</f>
        <v>0.00032379855248954725</v>
      </c>
      <c r="AR13" s="54">
        <f t="shared" si="10"/>
        <v>4.999625653289716E-05</v>
      </c>
      <c r="AS13" s="55">
        <v>409172</v>
      </c>
      <c r="AT13" s="56">
        <v>82403898</v>
      </c>
      <c r="AU13" s="47">
        <f>AT13/AT14</f>
        <v>0.4246025329898372</v>
      </c>
      <c r="AV13" s="56">
        <v>6200</v>
      </c>
      <c r="AW13" s="47">
        <f>AV13/AV14</f>
        <v>0.0004532111398128589</v>
      </c>
      <c r="AX13" s="47">
        <f t="shared" si="11"/>
        <v>7.52391591960856E-05</v>
      </c>
      <c r="AY13" s="43" t="e">
        <f>#REF!</f>
        <v>#REF!</v>
      </c>
      <c r="AZ13" s="44" t="e">
        <f>#REF!</f>
        <v>#REF!</v>
      </c>
      <c r="BA13" s="54" t="e">
        <f>AZ13/AZ14</f>
        <v>#REF!</v>
      </c>
      <c r="BB13" s="44" t="e">
        <f>-#REF!</f>
        <v>#REF!</v>
      </c>
      <c r="BC13" s="57" t="e">
        <f>BB13/BB14</f>
        <v>#REF!</v>
      </c>
      <c r="BD13" s="56">
        <v>67805964</v>
      </c>
      <c r="BE13" s="58">
        <f>BD13/BD14</f>
        <v>0.4594133130468477</v>
      </c>
      <c r="BF13" s="53">
        <v>0</v>
      </c>
      <c r="BG13" s="59">
        <f>BF13/BF14</f>
        <v>0</v>
      </c>
    </row>
    <row r="14" spans="1:59" s="2" customFormat="1" ht="24" customHeight="1">
      <c r="A14" s="21" t="s">
        <v>11</v>
      </c>
      <c r="B14" s="60">
        <f aca="true" t="shared" si="12" ref="B14:G14">SUM(B7:B13)</f>
        <v>119223727.13</v>
      </c>
      <c r="C14" s="60">
        <f t="shared" si="12"/>
        <v>1607457.2100000002</v>
      </c>
      <c r="D14" s="60">
        <f t="shared" si="12"/>
        <v>4786.799999999999</v>
      </c>
      <c r="E14" s="61">
        <f t="shared" si="12"/>
        <v>1</v>
      </c>
      <c r="F14" s="60">
        <f t="shared" si="12"/>
        <v>9761070.899999999</v>
      </c>
      <c r="G14" s="61">
        <f t="shared" si="12"/>
        <v>1</v>
      </c>
      <c r="H14" s="61">
        <f t="shared" si="0"/>
        <v>0.08187188183906258</v>
      </c>
      <c r="I14" s="62">
        <f aca="true" t="shared" si="13" ref="I14:N14">SUM(I7:I13)</f>
        <v>135433830.13</v>
      </c>
      <c r="J14" s="62">
        <f t="shared" si="13"/>
        <v>12911125.879999999</v>
      </c>
      <c r="K14" s="62">
        <f t="shared" si="13"/>
        <v>141184.22</v>
      </c>
      <c r="L14" s="63">
        <f t="shared" si="13"/>
        <v>1</v>
      </c>
      <c r="M14" s="64">
        <f t="shared" si="13"/>
        <v>12769941.660000002</v>
      </c>
      <c r="N14" s="63">
        <f t="shared" si="13"/>
        <v>0.9999999999999998</v>
      </c>
      <c r="O14" s="63">
        <f t="shared" si="3"/>
        <v>0.0942891569096319</v>
      </c>
      <c r="P14" s="60">
        <f aca="true" t="shared" si="14" ref="P14:U14">SUM(P7:P13)</f>
        <v>162174164.51999998</v>
      </c>
      <c r="Q14" s="65">
        <f t="shared" si="14"/>
        <v>14831725.61</v>
      </c>
      <c r="R14" s="65">
        <f t="shared" si="14"/>
        <v>155103.28000000003</v>
      </c>
      <c r="S14" s="66">
        <f t="shared" si="14"/>
        <v>1.0000000000000002</v>
      </c>
      <c r="T14" s="60">
        <f t="shared" si="14"/>
        <v>14676622.329999998</v>
      </c>
      <c r="U14" s="66">
        <f t="shared" si="14"/>
        <v>1.0000000000000002</v>
      </c>
      <c r="V14" s="61">
        <f t="shared" si="5"/>
        <v>0.09049913944948991</v>
      </c>
      <c r="W14" s="67">
        <f>SUM(W7:W13)</f>
        <v>915954.4099999999</v>
      </c>
      <c r="X14" s="68">
        <f aca="true" t="shared" si="15" ref="X14:AC14">SUM(X7:X13)</f>
        <v>177176273</v>
      </c>
      <c r="Y14" s="68">
        <f t="shared" si="15"/>
        <v>14767241</v>
      </c>
      <c r="Z14" s="68">
        <f t="shared" si="15"/>
        <v>92321</v>
      </c>
      <c r="AA14" s="69">
        <f t="shared" si="15"/>
        <v>1</v>
      </c>
      <c r="AB14" s="68">
        <f t="shared" si="15"/>
        <v>14674920</v>
      </c>
      <c r="AC14" s="69">
        <f t="shared" si="15"/>
        <v>1</v>
      </c>
      <c r="AD14" s="63">
        <f t="shared" si="7"/>
        <v>0.08282666607396127</v>
      </c>
      <c r="AE14" s="70">
        <f>SUM(AE7:AE13)</f>
        <v>906618.27</v>
      </c>
      <c r="AF14" s="60">
        <f aca="true" t="shared" si="16" ref="AF14:AK14">SUM(AF7:AF13)</f>
        <v>182325997</v>
      </c>
      <c r="AG14" s="60">
        <f t="shared" si="16"/>
        <v>13588468</v>
      </c>
      <c r="AH14" s="60">
        <f t="shared" si="16"/>
        <v>122248</v>
      </c>
      <c r="AI14" s="61">
        <f t="shared" si="16"/>
        <v>1</v>
      </c>
      <c r="AJ14" s="60">
        <f t="shared" si="16"/>
        <v>13466220</v>
      </c>
      <c r="AK14" s="61">
        <f t="shared" si="16"/>
        <v>1.0000000000000002</v>
      </c>
      <c r="AL14" s="61">
        <f t="shared" si="9"/>
        <v>0.07385792603125049</v>
      </c>
      <c r="AM14" s="71">
        <f>SUM(AM7:AM13)</f>
        <v>992883.47</v>
      </c>
      <c r="AN14" s="64">
        <f>SUM(AN7:AN13)</f>
        <v>193889145</v>
      </c>
      <c r="AO14" s="63">
        <f>SUM(AO7:AO13)</f>
        <v>1</v>
      </c>
      <c r="AP14" s="64">
        <f>SUM(AP7:AP13)</f>
        <v>14817855</v>
      </c>
      <c r="AQ14" s="63">
        <f>SUM(AQ7:AQ13)</f>
        <v>1</v>
      </c>
      <c r="AR14" s="63">
        <f t="shared" si="10"/>
        <v>0.07642436609847343</v>
      </c>
      <c r="AS14" s="70">
        <f>SUM(AS7:AS13)</f>
        <v>990929</v>
      </c>
      <c r="AT14" s="60">
        <f>SUM(AT7:AT13)</f>
        <v>194073025</v>
      </c>
      <c r="AU14" s="61">
        <f>SUM(AU7:AU13)</f>
        <v>0.9999999999999999</v>
      </c>
      <c r="AV14" s="60">
        <f>SUM(AV7:AV13)</f>
        <v>13680158</v>
      </c>
      <c r="AW14" s="61">
        <f>SUM(AW7:AW13)</f>
        <v>1</v>
      </c>
      <c r="AX14" s="61">
        <f t="shared" si="11"/>
        <v>0.0704897447751948</v>
      </c>
      <c r="AY14" s="71" t="e">
        <f aca="true" t="shared" si="17" ref="AY14:BG14">SUM(AY7:AY13)</f>
        <v>#REF!</v>
      </c>
      <c r="AZ14" s="64" t="e">
        <f t="shared" si="17"/>
        <v>#REF!</v>
      </c>
      <c r="BA14" s="63" t="e">
        <f t="shared" si="17"/>
        <v>#REF!</v>
      </c>
      <c r="BB14" s="64" t="e">
        <f t="shared" si="17"/>
        <v>#REF!</v>
      </c>
      <c r="BC14" s="63" t="e">
        <f t="shared" si="17"/>
        <v>#REF!</v>
      </c>
      <c r="BD14" s="60">
        <f t="shared" si="17"/>
        <v>147592510</v>
      </c>
      <c r="BE14" s="72">
        <f t="shared" si="17"/>
        <v>1</v>
      </c>
      <c r="BF14" s="60">
        <f t="shared" si="17"/>
        <v>9634121</v>
      </c>
      <c r="BG14" s="61">
        <f t="shared" si="17"/>
        <v>0.9999999999999999</v>
      </c>
    </row>
    <row r="15" spans="1:59" s="4" customFormat="1" ht="18" customHeight="1">
      <c r="A15" s="73"/>
      <c r="B15" s="74"/>
      <c r="C15" s="74"/>
      <c r="D15" s="74"/>
      <c r="E15" s="75"/>
      <c r="F15" s="74"/>
      <c r="G15" s="74"/>
      <c r="H15" s="74"/>
      <c r="I15" s="76"/>
      <c r="J15" s="76"/>
      <c r="K15" s="76"/>
      <c r="L15" s="77"/>
      <c r="M15" s="76"/>
      <c r="N15" s="77"/>
      <c r="O15" s="77"/>
      <c r="P15" s="76"/>
      <c r="Q15" s="76"/>
      <c r="R15" s="76"/>
      <c r="S15" s="77"/>
      <c r="T15" s="76"/>
      <c r="U15" s="77"/>
      <c r="V15" s="77"/>
      <c r="W15" s="78"/>
      <c r="X15" s="76"/>
      <c r="Y15" s="76"/>
      <c r="Z15" s="76"/>
      <c r="AA15" s="77"/>
      <c r="AB15" s="76"/>
      <c r="AC15" s="77"/>
      <c r="AD15" s="77"/>
      <c r="AE15" s="78"/>
      <c r="AF15" s="76"/>
      <c r="AG15" s="76"/>
      <c r="AH15" s="76"/>
      <c r="AI15" s="77"/>
      <c r="AJ15" s="76"/>
      <c r="AK15" s="77"/>
      <c r="AL15" s="77"/>
      <c r="AM15" s="79"/>
      <c r="AN15" s="76"/>
      <c r="AO15" s="77"/>
      <c r="AP15" s="76"/>
      <c r="AQ15" s="77"/>
      <c r="AR15" s="80"/>
      <c r="AS15" s="78"/>
      <c r="AT15" s="76"/>
      <c r="AU15" s="77"/>
      <c r="AV15" s="76"/>
      <c r="AW15" s="77"/>
      <c r="AX15" s="77"/>
      <c r="AY15" s="79"/>
      <c r="AZ15" s="76"/>
      <c r="BA15" s="77"/>
      <c r="BB15" s="76"/>
      <c r="BC15" s="77"/>
      <c r="BD15" s="80"/>
      <c r="BE15" s="80"/>
      <c r="BF15" s="80"/>
      <c r="BG15" s="80"/>
    </row>
    <row r="16" spans="1:59" s="6" customFormat="1" ht="60.75" customHeight="1">
      <c r="A16" s="81" t="s">
        <v>21</v>
      </c>
      <c r="B16" s="82"/>
      <c r="C16" s="82"/>
      <c r="D16" s="82"/>
      <c r="E16" s="83"/>
      <c r="F16" s="82"/>
      <c r="G16" s="82"/>
      <c r="H16" s="82"/>
      <c r="I16" s="82"/>
      <c r="J16" s="82"/>
      <c r="K16" s="82"/>
      <c r="L16" s="83"/>
      <c r="M16" s="84">
        <f>M14/I14</f>
        <v>0.0942891569096319</v>
      </c>
      <c r="N16" s="82"/>
      <c r="O16" s="82"/>
      <c r="P16" s="82"/>
      <c r="Q16" s="82"/>
      <c r="R16" s="82"/>
      <c r="S16" s="83"/>
      <c r="T16" s="84">
        <f>T14/P14</f>
        <v>0.09049913944948991</v>
      </c>
      <c r="U16" s="82"/>
      <c r="V16" s="82"/>
      <c r="W16" s="85"/>
      <c r="X16" s="82"/>
      <c r="Y16" s="82"/>
      <c r="Z16" s="82"/>
      <c r="AA16" s="83"/>
      <c r="AB16" s="84">
        <f>AB14/X14</f>
        <v>0.08282666607396127</v>
      </c>
      <c r="AC16" s="82"/>
      <c r="AD16" s="82"/>
      <c r="AE16" s="85"/>
      <c r="AF16" s="82"/>
      <c r="AG16" s="82"/>
      <c r="AH16" s="82"/>
      <c r="AI16" s="83"/>
      <c r="AJ16" s="84">
        <f>AJ14/AF14</f>
        <v>0.07385792603125049</v>
      </c>
      <c r="AK16" s="82"/>
      <c r="AL16" s="82"/>
      <c r="AM16" s="85"/>
      <c r="AN16" s="82"/>
      <c r="AO16" s="83"/>
      <c r="AP16" s="84">
        <f>AP14/AN14</f>
        <v>0.07642436609847343</v>
      </c>
      <c r="AQ16" s="82"/>
      <c r="AR16" s="86"/>
      <c r="AS16" s="85"/>
      <c r="AT16" s="82"/>
      <c r="AU16" s="83"/>
      <c r="AV16" s="84">
        <f>AV14/AT14</f>
        <v>0.0704897447751948</v>
      </c>
      <c r="AW16" s="82"/>
      <c r="AX16" s="82"/>
      <c r="AY16" s="85"/>
      <c r="AZ16" s="82"/>
      <c r="BA16" s="83"/>
      <c r="BB16" s="84" t="e">
        <f>BB14/AZ14</f>
        <v>#REF!</v>
      </c>
      <c r="BC16" s="82"/>
      <c r="BD16" s="86"/>
      <c r="BE16" s="86"/>
      <c r="BF16" s="136">
        <f>BF14/BD14</f>
        <v>0.06527513489675052</v>
      </c>
      <c r="BG16" s="86"/>
    </row>
    <row r="17" spans="1:59" s="2" customFormat="1" ht="18" customHeight="1">
      <c r="A17" s="23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7"/>
      <c r="M17" s="88"/>
      <c r="N17" s="80"/>
      <c r="O17" s="80"/>
      <c r="P17" s="80"/>
      <c r="Q17" s="80"/>
      <c r="R17" s="80"/>
      <c r="S17" s="87"/>
      <c r="T17" s="88"/>
      <c r="U17" s="80"/>
      <c r="V17" s="80"/>
      <c r="W17" s="89"/>
      <c r="X17" s="80"/>
      <c r="Y17" s="80"/>
      <c r="Z17" s="80"/>
      <c r="AA17" s="87"/>
      <c r="AB17" s="88"/>
      <c r="AC17" s="80"/>
      <c r="AD17" s="80"/>
      <c r="AE17" s="89"/>
      <c r="AF17" s="80"/>
      <c r="AG17" s="80"/>
      <c r="AH17" s="80"/>
      <c r="AI17" s="87"/>
      <c r="AJ17" s="88"/>
      <c r="AK17" s="80"/>
      <c r="AL17" s="80"/>
      <c r="AM17" s="89"/>
      <c r="AN17" s="80"/>
      <c r="AO17" s="87"/>
      <c r="AP17" s="88"/>
      <c r="AQ17" s="80"/>
      <c r="AR17" s="23"/>
      <c r="AS17" s="89"/>
      <c r="AT17" s="80"/>
      <c r="AU17" s="87"/>
      <c r="AV17" s="88"/>
      <c r="AW17" s="80"/>
      <c r="AX17" s="80"/>
      <c r="AY17" s="89"/>
      <c r="AZ17" s="80"/>
      <c r="BA17" s="87"/>
      <c r="BB17" s="88"/>
      <c r="BC17" s="80"/>
      <c r="BD17" s="23"/>
      <c r="BE17" s="23"/>
      <c r="BF17" s="23"/>
      <c r="BG17" s="23"/>
    </row>
    <row r="18" spans="1:59" s="2" customFormat="1" ht="24" customHeight="1">
      <c r="A18" s="21" t="s">
        <v>14</v>
      </c>
      <c r="B18" s="137">
        <v>2007</v>
      </c>
      <c r="C18" s="137"/>
      <c r="D18" s="137"/>
      <c r="E18" s="137"/>
      <c r="F18" s="137"/>
      <c r="G18" s="139"/>
      <c r="H18" s="22"/>
      <c r="I18" s="138">
        <v>2008</v>
      </c>
      <c r="J18" s="138"/>
      <c r="K18" s="138"/>
      <c r="L18" s="138"/>
      <c r="M18" s="138"/>
      <c r="N18" s="138"/>
      <c r="O18" s="138"/>
      <c r="P18" s="137">
        <v>2009</v>
      </c>
      <c r="Q18" s="137"/>
      <c r="R18" s="137"/>
      <c r="S18" s="137"/>
      <c r="T18" s="137"/>
      <c r="U18" s="137"/>
      <c r="V18" s="137"/>
      <c r="W18" s="140">
        <v>2010</v>
      </c>
      <c r="X18" s="140"/>
      <c r="Y18" s="140"/>
      <c r="Z18" s="140"/>
      <c r="AA18" s="140"/>
      <c r="AB18" s="140"/>
      <c r="AC18" s="140"/>
      <c r="AD18" s="140"/>
      <c r="AE18" s="137">
        <v>2011</v>
      </c>
      <c r="AF18" s="137"/>
      <c r="AG18" s="137"/>
      <c r="AH18" s="137"/>
      <c r="AI18" s="137"/>
      <c r="AJ18" s="137"/>
      <c r="AK18" s="137"/>
      <c r="AL18" s="137"/>
      <c r="AM18" s="138">
        <v>2012</v>
      </c>
      <c r="AN18" s="138"/>
      <c r="AO18" s="138"/>
      <c r="AP18" s="138"/>
      <c r="AQ18" s="138"/>
      <c r="AR18" s="138"/>
      <c r="AS18" s="137">
        <v>2013</v>
      </c>
      <c r="AT18" s="137"/>
      <c r="AU18" s="137"/>
      <c r="AV18" s="137"/>
      <c r="AW18" s="137"/>
      <c r="AX18" s="137"/>
      <c r="AY18" s="138" t="str">
        <f>AY5</f>
        <v>2014 (through March)</v>
      </c>
      <c r="AZ18" s="138"/>
      <c r="BA18" s="138"/>
      <c r="BB18" s="138"/>
      <c r="BC18" s="138"/>
      <c r="BD18" s="137"/>
      <c r="BE18" s="137"/>
      <c r="BF18" s="137"/>
      <c r="BG18" s="137"/>
    </row>
    <row r="19" spans="1:59" s="2" customFormat="1" ht="43.5" customHeight="1">
      <c r="A19" s="23"/>
      <c r="B19" s="24" t="s">
        <v>0</v>
      </c>
      <c r="C19" s="24" t="s">
        <v>1</v>
      </c>
      <c r="D19" s="24" t="s">
        <v>2</v>
      </c>
      <c r="E19" s="25" t="s">
        <v>12</v>
      </c>
      <c r="F19" s="24" t="s">
        <v>3</v>
      </c>
      <c r="G19" s="25" t="s">
        <v>13</v>
      </c>
      <c r="H19" s="26" t="s">
        <v>17</v>
      </c>
      <c r="I19" s="27" t="s">
        <v>0</v>
      </c>
      <c r="J19" s="27" t="s">
        <v>1</v>
      </c>
      <c r="K19" s="27" t="s">
        <v>2</v>
      </c>
      <c r="L19" s="28" t="s">
        <v>12</v>
      </c>
      <c r="M19" s="27" t="s">
        <v>3</v>
      </c>
      <c r="N19" s="28" t="s">
        <v>13</v>
      </c>
      <c r="O19" s="28" t="s">
        <v>17</v>
      </c>
      <c r="P19" s="29" t="s">
        <v>0</v>
      </c>
      <c r="Q19" s="29" t="s">
        <v>1</v>
      </c>
      <c r="R19" s="29" t="s">
        <v>2</v>
      </c>
      <c r="S19" s="26" t="s">
        <v>12</v>
      </c>
      <c r="T19" s="29" t="s">
        <v>3</v>
      </c>
      <c r="U19" s="26" t="s">
        <v>13</v>
      </c>
      <c r="V19" s="26" t="s">
        <v>20</v>
      </c>
      <c r="W19" s="30" t="s">
        <v>22</v>
      </c>
      <c r="X19" s="31" t="s">
        <v>0</v>
      </c>
      <c r="Y19" s="31" t="s">
        <v>1</v>
      </c>
      <c r="Z19" s="31" t="s">
        <v>2</v>
      </c>
      <c r="AA19" s="32" t="s">
        <v>12</v>
      </c>
      <c r="AB19" s="31" t="s">
        <v>3</v>
      </c>
      <c r="AC19" s="32" t="s">
        <v>13</v>
      </c>
      <c r="AD19" s="28" t="s">
        <v>20</v>
      </c>
      <c r="AE19" s="33" t="s">
        <v>22</v>
      </c>
      <c r="AF19" s="29" t="s">
        <v>0</v>
      </c>
      <c r="AG19" s="29" t="s">
        <v>1</v>
      </c>
      <c r="AH19" s="29" t="s">
        <v>2</v>
      </c>
      <c r="AI19" s="26" t="s">
        <v>12</v>
      </c>
      <c r="AJ19" s="29" t="s">
        <v>3</v>
      </c>
      <c r="AK19" s="26" t="s">
        <v>13</v>
      </c>
      <c r="AL19" s="26" t="s">
        <v>20</v>
      </c>
      <c r="AM19" s="34" t="s">
        <v>22</v>
      </c>
      <c r="AN19" s="27" t="s">
        <v>0</v>
      </c>
      <c r="AO19" s="28" t="s">
        <v>12</v>
      </c>
      <c r="AP19" s="27" t="s">
        <v>3</v>
      </c>
      <c r="AQ19" s="28" t="s">
        <v>13</v>
      </c>
      <c r="AR19" s="28" t="s">
        <v>20</v>
      </c>
      <c r="AS19" s="33" t="s">
        <v>22</v>
      </c>
      <c r="AT19" s="29" t="s">
        <v>0</v>
      </c>
      <c r="AU19" s="26" t="s">
        <v>12</v>
      </c>
      <c r="AV19" s="29" t="s">
        <v>3</v>
      </c>
      <c r="AW19" s="26" t="s">
        <v>13</v>
      </c>
      <c r="AX19" s="26" t="s">
        <v>20</v>
      </c>
      <c r="AY19" s="34" t="s">
        <v>22</v>
      </c>
      <c r="AZ19" s="27" t="s">
        <v>0</v>
      </c>
      <c r="BA19" s="28" t="s">
        <v>12</v>
      </c>
      <c r="BB19" s="27" t="s">
        <v>3</v>
      </c>
      <c r="BC19" s="28" t="s">
        <v>13</v>
      </c>
      <c r="BD19" s="29" t="s">
        <v>0</v>
      </c>
      <c r="BE19" s="26" t="s">
        <v>12</v>
      </c>
      <c r="BF19" s="29" t="s">
        <v>3</v>
      </c>
      <c r="BG19" s="26" t="s">
        <v>13</v>
      </c>
    </row>
    <row r="20" spans="1:59" s="2" customFormat="1" ht="20.25">
      <c r="A20" s="23" t="s">
        <v>10</v>
      </c>
      <c r="B20" s="35">
        <f>1898311.25-220579</f>
        <v>1677732.25</v>
      </c>
      <c r="C20" s="35">
        <f>1213044.44-78830.18</f>
        <v>1134214.26</v>
      </c>
      <c r="D20" s="35">
        <f>49549.97-7628.48</f>
        <v>41921.490000000005</v>
      </c>
      <c r="E20" s="36">
        <f>B20/B27</f>
        <v>0.005301994365450696</v>
      </c>
      <c r="F20" s="35">
        <f aca="true" t="shared" si="18" ref="F20:F26">C20-D20</f>
        <v>1092292.77</v>
      </c>
      <c r="G20" s="36">
        <f>F20/F27</f>
        <v>0.012461370039082688</v>
      </c>
      <c r="H20" s="36">
        <f aca="true" t="shared" si="19" ref="H20:H27">F20/B20</f>
        <v>0.6510530926493188</v>
      </c>
      <c r="I20" s="37">
        <f>2457318.5-237620</f>
        <v>2219698.5</v>
      </c>
      <c r="J20" s="37">
        <f>1368168.77-80137.01</f>
        <v>1288031.76</v>
      </c>
      <c r="K20" s="37">
        <f>42282.07-518.58</f>
        <v>41763.49</v>
      </c>
      <c r="L20" s="39">
        <f aca="true" t="shared" si="20" ref="L20:L26">I20/$I$27</f>
        <v>0.00644184970195278</v>
      </c>
      <c r="M20" s="37">
        <f aca="true" t="shared" si="21" ref="M20:M26">J20-K20</f>
        <v>1246268.27</v>
      </c>
      <c r="N20" s="39">
        <f aca="true" t="shared" si="22" ref="N20:N26">M20/$M$27</f>
        <v>0.012787552994009462</v>
      </c>
      <c r="O20" s="39">
        <f aca="true" t="shared" si="23" ref="O20:O27">M20/I20</f>
        <v>0.5614583557181302</v>
      </c>
      <c r="P20" s="42">
        <f>1768961.68-10273</f>
        <v>1758688.68</v>
      </c>
      <c r="Q20" s="90">
        <f>1205283.75-11657.11</f>
        <v>1193626.64</v>
      </c>
      <c r="R20" s="90">
        <f>34578.85-1128</f>
        <v>33450.85</v>
      </c>
      <c r="S20" s="36">
        <f>P20/P27</f>
        <v>0.004607021594007251</v>
      </c>
      <c r="T20" s="40">
        <f aca="true" t="shared" si="24" ref="T20:T26">Q20-R20</f>
        <v>1160175.7899999998</v>
      </c>
      <c r="U20" s="36">
        <f>T20/T27</f>
        <v>0.010936974063253304</v>
      </c>
      <c r="V20" s="36">
        <f aca="true" t="shared" si="25" ref="V20:V27">T20/P20</f>
        <v>0.6596822980631227</v>
      </c>
      <c r="W20" s="91">
        <v>4136.52</v>
      </c>
      <c r="X20" s="91">
        <v>1086214</v>
      </c>
      <c r="Y20" s="92">
        <v>1583850</v>
      </c>
      <c r="Z20" s="92">
        <v>47475</v>
      </c>
      <c r="AA20" s="38">
        <f>X20/X27</f>
        <v>0.0025739936807918874</v>
      </c>
      <c r="AB20" s="41">
        <f aca="true" t="shared" si="26" ref="AB20:AB26">Y20-Z20</f>
        <v>1536375</v>
      </c>
      <c r="AC20" s="38">
        <f>AB20/AB27</f>
        <v>0.012710849528609599</v>
      </c>
      <c r="AD20" s="39">
        <f aca="true" t="shared" si="27" ref="AD20:AD27">AB20/X20</f>
        <v>1.4144312262592822</v>
      </c>
      <c r="AE20" s="42">
        <v>5149.5</v>
      </c>
      <c r="AF20" s="40">
        <v>1363989</v>
      </c>
      <c r="AG20" s="35">
        <v>1670352</v>
      </c>
      <c r="AH20" s="35">
        <v>25242</v>
      </c>
      <c r="AI20" s="36">
        <f>AF20/AF27</f>
        <v>0.003027260250074043</v>
      </c>
      <c r="AJ20" s="40">
        <f aca="true" t="shared" si="28" ref="AJ20:AJ26">AG20-AH20</f>
        <v>1645110</v>
      </c>
      <c r="AK20" s="36">
        <f>AJ20/AJ27</f>
        <v>0.012837758947791803</v>
      </c>
      <c r="AL20" s="36">
        <f aca="true" t="shared" si="29" ref="AL20:AL27">AJ20/AF20</f>
        <v>1.2061021019964238</v>
      </c>
      <c r="AM20" s="43">
        <v>5899.6</v>
      </c>
      <c r="AN20" s="45">
        <v>1578789</v>
      </c>
      <c r="AO20" s="39">
        <f>AN20/AN27</f>
        <v>0.0030330144501514917</v>
      </c>
      <c r="AP20" s="45">
        <v>1596554</v>
      </c>
      <c r="AQ20" s="39">
        <f>AP20/AP27</f>
        <v>0.011418022270476426</v>
      </c>
      <c r="AR20" s="39">
        <f aca="true" t="shared" si="30" ref="AR20:AR27">AP20/AN20</f>
        <v>1.0112522952718825</v>
      </c>
      <c r="AS20" s="42">
        <v>7369</v>
      </c>
      <c r="AT20" s="40">
        <v>2137965</v>
      </c>
      <c r="AU20" s="36">
        <f>AT20/AT27</f>
        <v>0.0034461897609143984</v>
      </c>
      <c r="AV20" s="40">
        <v>2013842</v>
      </c>
      <c r="AW20" s="36">
        <f>AV20/AV27</f>
        <v>0.011699746383162863</v>
      </c>
      <c r="AX20" s="36">
        <f aca="true" t="shared" si="31" ref="AX20:AX27">AV20/AT20</f>
        <v>0.9419433900929155</v>
      </c>
      <c r="AY20" s="43" t="e">
        <f>#REF!</f>
        <v>#REF!</v>
      </c>
      <c r="AZ20" s="45" t="e">
        <f>#REF!</f>
        <v>#REF!</v>
      </c>
      <c r="BA20" s="39" t="e">
        <f>AZ20/AZ27</f>
        <v>#REF!</v>
      </c>
      <c r="BB20" s="45" t="e">
        <f>-#REF!</f>
        <v>#REF!</v>
      </c>
      <c r="BC20" s="39" t="e">
        <f>BB20/BB27</f>
        <v>#REF!</v>
      </c>
      <c r="BD20" s="40">
        <v>1629050</v>
      </c>
      <c r="BE20" s="46">
        <f>BD20/BD27</f>
        <v>0.003026815658100803</v>
      </c>
      <c r="BF20" s="35">
        <v>1136528</v>
      </c>
      <c r="BG20" s="36">
        <f>BF20/BF27</f>
        <v>0.00800143181619551</v>
      </c>
    </row>
    <row r="21" spans="1:59" s="2" customFormat="1" ht="20.25">
      <c r="A21" s="23" t="s">
        <v>5</v>
      </c>
      <c r="B21" s="35">
        <f>133713938.96-13730146.1</f>
        <v>119983792.86</v>
      </c>
      <c r="C21" s="35">
        <f>53131030.84-3283748.83</f>
        <v>49847282.010000005</v>
      </c>
      <c r="D21" s="35">
        <f>864858.27-23898.78</f>
        <v>840959.49</v>
      </c>
      <c r="E21" s="36">
        <f>B21/B27</f>
        <v>0.37917456357480367</v>
      </c>
      <c r="F21" s="35">
        <f t="shared" si="18"/>
        <v>49006322.52</v>
      </c>
      <c r="G21" s="36">
        <f>F21/F27</f>
        <v>0.5590862962283923</v>
      </c>
      <c r="H21" s="36">
        <f t="shared" si="19"/>
        <v>0.40844118486220693</v>
      </c>
      <c r="I21" s="37">
        <f>147447300.9-13545091</f>
        <v>133902209.9</v>
      </c>
      <c r="J21" s="37">
        <f>55000949.76-3370154.04-315</f>
        <v>51630480.72</v>
      </c>
      <c r="K21" s="37">
        <f>803672.1-96958.31</f>
        <v>706713.79</v>
      </c>
      <c r="L21" s="39">
        <f t="shared" si="20"/>
        <v>0.38860138479849116</v>
      </c>
      <c r="M21" s="37">
        <f t="shared" si="21"/>
        <v>50923766.93</v>
      </c>
      <c r="N21" s="39">
        <f t="shared" si="22"/>
        <v>0.5225121941618248</v>
      </c>
      <c r="O21" s="39">
        <f t="shared" si="23"/>
        <v>0.38030564968293323</v>
      </c>
      <c r="P21" s="42">
        <f>152581858.49-492238</f>
        <v>152089620.49</v>
      </c>
      <c r="Q21" s="90">
        <f>56458454.6-441647.26</f>
        <v>56016807.34</v>
      </c>
      <c r="R21" s="90">
        <f>877017.1-38211.7</f>
        <v>838805.4</v>
      </c>
      <c r="S21" s="36">
        <f>P21/P27</f>
        <v>0.3984105736222727</v>
      </c>
      <c r="T21" s="40">
        <f t="shared" si="24"/>
        <v>55178001.940000005</v>
      </c>
      <c r="U21" s="36">
        <f>T21/T27</f>
        <v>0.5201628764205816</v>
      </c>
      <c r="V21" s="36">
        <f t="shared" si="25"/>
        <v>0.3627992611345098</v>
      </c>
      <c r="W21" s="91">
        <v>686315.05</v>
      </c>
      <c r="X21" s="91">
        <v>166494633</v>
      </c>
      <c r="Y21" s="92">
        <v>60122039</v>
      </c>
      <c r="Z21" s="92">
        <v>961777</v>
      </c>
      <c r="AA21" s="38">
        <f>X21/X27</f>
        <v>0.39454116152780616</v>
      </c>
      <c r="AB21" s="41">
        <f t="shared" si="26"/>
        <v>59160262</v>
      </c>
      <c r="AC21" s="38">
        <f>AB21/AB27</f>
        <v>0.4894489876202882</v>
      </c>
      <c r="AD21" s="39">
        <f t="shared" si="27"/>
        <v>0.3553283426259152</v>
      </c>
      <c r="AE21" s="42">
        <v>732289.6</v>
      </c>
      <c r="AF21" s="40">
        <v>181074913</v>
      </c>
      <c r="AG21" s="35">
        <v>63433500</v>
      </c>
      <c r="AH21" s="35">
        <v>542389</v>
      </c>
      <c r="AI21" s="36">
        <f>AF21/AF27</f>
        <v>0.40188072367923466</v>
      </c>
      <c r="AJ21" s="40">
        <f t="shared" si="28"/>
        <v>62891111</v>
      </c>
      <c r="AK21" s="36">
        <f>AJ21/AJ27</f>
        <v>0.49077625385343077</v>
      </c>
      <c r="AL21" s="36">
        <f t="shared" si="29"/>
        <v>0.3473209510806171</v>
      </c>
      <c r="AM21" s="43">
        <v>822152.63</v>
      </c>
      <c r="AN21" s="45">
        <v>208896091</v>
      </c>
      <c r="AO21" s="39">
        <f>AN21/AN27</f>
        <v>0.4013106644289775</v>
      </c>
      <c r="AP21" s="45">
        <v>71064547</v>
      </c>
      <c r="AQ21" s="39">
        <f>AP21/AP27</f>
        <v>0.5082299629623042</v>
      </c>
      <c r="AR21" s="39">
        <f t="shared" si="30"/>
        <v>0.3401908894503919</v>
      </c>
      <c r="AS21" s="42">
        <v>998858</v>
      </c>
      <c r="AT21" s="40">
        <v>252641563</v>
      </c>
      <c r="AU21" s="36">
        <f>AT21/AT27</f>
        <v>0.40723340540748326</v>
      </c>
      <c r="AV21" s="40">
        <v>88537085</v>
      </c>
      <c r="AW21" s="36">
        <f>AV21/AV27</f>
        <v>0.5143707599724968</v>
      </c>
      <c r="AX21" s="36">
        <f t="shared" si="31"/>
        <v>0.35044544511466624</v>
      </c>
      <c r="AY21" s="43" t="e">
        <f>#REF!</f>
        <v>#REF!</v>
      </c>
      <c r="AZ21" s="45" t="e">
        <f>#REF!</f>
        <v>#REF!</v>
      </c>
      <c r="BA21" s="39" t="e">
        <f>AZ21/AZ27</f>
        <v>#REF!</v>
      </c>
      <c r="BB21" s="45" t="e">
        <f>-#REF!</f>
        <v>#REF!</v>
      </c>
      <c r="BC21" s="39" t="e">
        <f>BB21/BB27</f>
        <v>#REF!</v>
      </c>
      <c r="BD21" s="40">
        <v>241164450</v>
      </c>
      <c r="BE21" s="46">
        <f>BD21/BD27</f>
        <v>0.44808958192644066</v>
      </c>
      <c r="BF21" s="35">
        <v>75797951</v>
      </c>
      <c r="BG21" s="36">
        <f>BF21/BF27</f>
        <v>0.5336358952298829</v>
      </c>
    </row>
    <row r="22" spans="1:59" s="2" customFormat="1" ht="20.25">
      <c r="A22" s="23" t="s">
        <v>6</v>
      </c>
      <c r="B22" s="35">
        <f>67101116.96-3843610</f>
        <v>63257506.96</v>
      </c>
      <c r="C22" s="35">
        <f>16846586.11-909870.89</f>
        <v>15936715.219999999</v>
      </c>
      <c r="D22" s="35">
        <f>195035.17-3494.39</f>
        <v>191540.78</v>
      </c>
      <c r="E22" s="36">
        <f>B22/B27</f>
        <v>0.19990731266826287</v>
      </c>
      <c r="F22" s="35">
        <f t="shared" si="18"/>
        <v>15745174.44</v>
      </c>
      <c r="G22" s="36">
        <f>F22/F27</f>
        <v>0.17962807263362782</v>
      </c>
      <c r="H22" s="36">
        <f t="shared" si="19"/>
        <v>0.24890602233117154</v>
      </c>
      <c r="I22" s="37">
        <f>80495092.36-2825344</f>
        <v>77669748.36</v>
      </c>
      <c r="J22" s="37">
        <f>21525822.54-631523.35</f>
        <v>20894299.189999998</v>
      </c>
      <c r="K22" s="37">
        <f>227648.17-14393.27</f>
        <v>213254.90000000002</v>
      </c>
      <c r="L22" s="39">
        <f t="shared" si="20"/>
        <v>0.22540757013784232</v>
      </c>
      <c r="M22" s="37">
        <f t="shared" si="21"/>
        <v>20681044.29</v>
      </c>
      <c r="N22" s="39">
        <f t="shared" si="22"/>
        <v>0.2122014627154327</v>
      </c>
      <c r="O22" s="39">
        <f t="shared" si="23"/>
        <v>0.2662689750730641</v>
      </c>
      <c r="P22" s="42">
        <f>89049575.18-93597</f>
        <v>88955978.18</v>
      </c>
      <c r="Q22" s="90">
        <f>25102010.9-183619.58</f>
        <v>24918391.32</v>
      </c>
      <c r="R22" s="90">
        <f>110572.4-480.24</f>
        <v>110092.15999999999</v>
      </c>
      <c r="S22" s="36">
        <f>P22/P27</f>
        <v>0.23302709402285904</v>
      </c>
      <c r="T22" s="40">
        <f t="shared" si="24"/>
        <v>24808299.16</v>
      </c>
      <c r="U22" s="36">
        <f>T22/T27</f>
        <v>0.23386776969923564</v>
      </c>
      <c r="V22" s="36">
        <f t="shared" si="25"/>
        <v>0.2788828774363099</v>
      </c>
      <c r="W22" s="91">
        <v>500085.66</v>
      </c>
      <c r="X22" s="91">
        <v>101238652</v>
      </c>
      <c r="Y22" s="92">
        <v>29478072</v>
      </c>
      <c r="Z22" s="92">
        <v>322666</v>
      </c>
      <c r="AA22" s="38">
        <f>X22/X27</f>
        <v>0.23990452203699178</v>
      </c>
      <c r="AB22" s="41">
        <f t="shared" si="26"/>
        <v>29155406</v>
      </c>
      <c r="AC22" s="38">
        <f>AB22/AB27</f>
        <v>0.24121062801172985</v>
      </c>
      <c r="AD22" s="39">
        <f t="shared" si="27"/>
        <v>0.2879869044483129</v>
      </c>
      <c r="AE22" s="42">
        <v>513325.04</v>
      </c>
      <c r="AF22" s="40">
        <v>104520285</v>
      </c>
      <c r="AG22" s="35">
        <v>28582507</v>
      </c>
      <c r="AH22" s="35">
        <v>189791</v>
      </c>
      <c r="AI22" s="36">
        <f>AF22/AF27</f>
        <v>0.23197408784595056</v>
      </c>
      <c r="AJ22" s="40">
        <f t="shared" si="28"/>
        <v>28392716</v>
      </c>
      <c r="AK22" s="36">
        <f>AJ22/AJ27</f>
        <v>0.221565028406071</v>
      </c>
      <c r="AL22" s="36">
        <f t="shared" si="29"/>
        <v>0.2716479006921958</v>
      </c>
      <c r="AM22" s="43">
        <v>533194.46</v>
      </c>
      <c r="AN22" s="45">
        <v>111084046</v>
      </c>
      <c r="AO22" s="39">
        <f>AN22/AN27</f>
        <v>0.21340376497384578</v>
      </c>
      <c r="AP22" s="45">
        <v>27983420</v>
      </c>
      <c r="AQ22" s="39">
        <f>AP22/AP27</f>
        <v>0.20012809636510598</v>
      </c>
      <c r="AR22" s="39">
        <f t="shared" si="30"/>
        <v>0.25191214227108727</v>
      </c>
      <c r="AS22" s="42">
        <v>570556</v>
      </c>
      <c r="AT22" s="40">
        <v>119785715</v>
      </c>
      <c r="AU22" s="36">
        <f>AT22/AT27</f>
        <v>0.19308281685472414</v>
      </c>
      <c r="AV22" s="40">
        <v>30268513</v>
      </c>
      <c r="AW22" s="36">
        <f>AV22/AV27</f>
        <v>0.17584990555141272</v>
      </c>
      <c r="AX22" s="36">
        <f t="shared" si="31"/>
        <v>0.25268883689511723</v>
      </c>
      <c r="AY22" s="43" t="e">
        <f>#REF!</f>
        <v>#REF!</v>
      </c>
      <c r="AZ22" s="45" t="e">
        <f>#REF!</f>
        <v>#REF!</v>
      </c>
      <c r="BA22" s="39" t="e">
        <f>AZ22/AZ27</f>
        <v>#REF!</v>
      </c>
      <c r="BB22" s="45" t="e">
        <f>-#REF!</f>
        <v>#REF!</v>
      </c>
      <c r="BC22" s="39" t="e">
        <f>BB22/BB27</f>
        <v>#REF!</v>
      </c>
      <c r="BD22" s="40">
        <v>89421119</v>
      </c>
      <c r="BE22" s="46">
        <f>BD22/BD27</f>
        <v>0.1661466763783157</v>
      </c>
      <c r="BF22" s="35">
        <v>22010084</v>
      </c>
      <c r="BG22" s="36">
        <f>BF22/BF27</f>
        <v>0.15495631114652322</v>
      </c>
    </row>
    <row r="23" spans="1:59" s="2" customFormat="1" ht="20.25">
      <c r="A23" s="23" t="s">
        <v>7</v>
      </c>
      <c r="B23" s="35">
        <f>72237089.35-7820981</f>
        <v>64416108.349999994</v>
      </c>
      <c r="C23" s="35">
        <f>13878812.78-936461.74</f>
        <v>12942351.04</v>
      </c>
      <c r="D23" s="35">
        <f>70552.27-7523.58</f>
        <v>63028.69</v>
      </c>
      <c r="E23" s="36">
        <f>B23/B27</f>
        <v>0.20356874198249542</v>
      </c>
      <c r="F23" s="35">
        <f t="shared" si="18"/>
        <v>12879322.35</v>
      </c>
      <c r="G23" s="36">
        <f>F23/F27</f>
        <v>0.14693313556948476</v>
      </c>
      <c r="H23" s="36">
        <f t="shared" si="19"/>
        <v>0.1999394666939702</v>
      </c>
      <c r="I23" s="37">
        <f>79982215.04-8203879</f>
        <v>71778336.04</v>
      </c>
      <c r="J23" s="37">
        <f>15397815.05-1122080.49</f>
        <v>14275734.56</v>
      </c>
      <c r="K23" s="37">
        <f>86473.67-31339</f>
        <v>55134.67</v>
      </c>
      <c r="L23" s="39">
        <f t="shared" si="20"/>
        <v>0.20830993606831763</v>
      </c>
      <c r="M23" s="37">
        <f t="shared" si="21"/>
        <v>14220599.89</v>
      </c>
      <c r="N23" s="39">
        <f t="shared" si="22"/>
        <v>0.14591294593416884</v>
      </c>
      <c r="O23" s="39">
        <f t="shared" si="23"/>
        <v>0.19811827181498423</v>
      </c>
      <c r="P23" s="42">
        <f>74699512.1-544163</f>
        <v>74155349.1</v>
      </c>
      <c r="Q23" s="90">
        <f>15965099.11-166901.6</f>
        <v>15798197.51</v>
      </c>
      <c r="R23" s="90">
        <f>109602.39-8841.99</f>
        <v>100760.4</v>
      </c>
      <c r="S23" s="36">
        <f>P23/P27</f>
        <v>0.19425569658800904</v>
      </c>
      <c r="T23" s="40">
        <f t="shared" si="24"/>
        <v>15697437.11</v>
      </c>
      <c r="U23" s="36">
        <f>T23/T27</f>
        <v>0.14797969756946913</v>
      </c>
      <c r="V23" s="36">
        <f t="shared" si="25"/>
        <v>0.21168313952418574</v>
      </c>
      <c r="W23" s="91">
        <v>396535.44</v>
      </c>
      <c r="X23" s="91">
        <v>91019701</v>
      </c>
      <c r="Y23" s="92">
        <v>20051165</v>
      </c>
      <c r="Z23" s="92">
        <v>117587</v>
      </c>
      <c r="AA23" s="38">
        <f>X23/X27</f>
        <v>0.21568874568139154</v>
      </c>
      <c r="AB23" s="41">
        <f t="shared" si="26"/>
        <v>19933578</v>
      </c>
      <c r="AC23" s="38">
        <f>AB23/AB27</f>
        <v>0.1649159290699228</v>
      </c>
      <c r="AD23" s="39">
        <f t="shared" si="27"/>
        <v>0.21900289476890283</v>
      </c>
      <c r="AE23" s="42">
        <v>426374.79</v>
      </c>
      <c r="AF23" s="40">
        <v>96623945</v>
      </c>
      <c r="AG23" s="35">
        <v>22759939</v>
      </c>
      <c r="AH23" s="35">
        <v>170501</v>
      </c>
      <c r="AI23" s="36">
        <f>AF23/AF27</f>
        <v>0.2144488173319877</v>
      </c>
      <c r="AJ23" s="40">
        <f t="shared" si="28"/>
        <v>22589438</v>
      </c>
      <c r="AK23" s="36">
        <f>AJ23/AJ27</f>
        <v>0.17627864386581332</v>
      </c>
      <c r="AL23" s="36">
        <f t="shared" si="29"/>
        <v>0.23378716321301102</v>
      </c>
      <c r="AM23" s="43">
        <v>506014.1</v>
      </c>
      <c r="AN23" s="45">
        <v>117852687</v>
      </c>
      <c r="AO23" s="39">
        <f>AN23/AN27</f>
        <v>0.22640701364158278</v>
      </c>
      <c r="AP23" s="45">
        <v>25808167</v>
      </c>
      <c r="AQ23" s="39">
        <f>AP23/AP27</f>
        <v>0.18457141165671487</v>
      </c>
      <c r="AR23" s="39">
        <f t="shared" si="30"/>
        <v>0.21898666595527008</v>
      </c>
      <c r="AS23" s="42">
        <v>632547</v>
      </c>
      <c r="AT23" s="40">
        <v>151754005</v>
      </c>
      <c r="AU23" s="36">
        <f>AT23/AT27</f>
        <v>0.24461256297869818</v>
      </c>
      <c r="AV23" s="40">
        <v>33426782</v>
      </c>
      <c r="AW23" s="36">
        <f>AV23/AV27</f>
        <v>0.19419838885338248</v>
      </c>
      <c r="AX23" s="36">
        <f t="shared" si="31"/>
        <v>0.2202695210581098</v>
      </c>
      <c r="AY23" s="43" t="e">
        <f>#REF!</f>
        <v>#REF!</v>
      </c>
      <c r="AZ23" s="45" t="e">
        <f>#REF!</f>
        <v>#REF!</v>
      </c>
      <c r="BA23" s="39" t="e">
        <f>AZ23/AZ27</f>
        <v>#REF!</v>
      </c>
      <c r="BB23" s="45" t="e">
        <f>-#REF!</f>
        <v>#REF!</v>
      </c>
      <c r="BC23" s="39" t="e">
        <f>BB23/BB27</f>
        <v>#REF!</v>
      </c>
      <c r="BD23" s="40">
        <v>141168291</v>
      </c>
      <c r="BE23" s="46">
        <f>BD23/BD27</f>
        <v>0.26229421664536423</v>
      </c>
      <c r="BF23" s="35">
        <v>27641158</v>
      </c>
      <c r="BG23" s="36">
        <f>BF23/BF27</f>
        <v>0.19460043312411754</v>
      </c>
    </row>
    <row r="24" spans="1:59" s="2" customFormat="1" ht="20.25">
      <c r="A24" s="23" t="s">
        <v>8</v>
      </c>
      <c r="B24" s="35">
        <f>17357708.14-2028256.34</f>
        <v>15329451.8</v>
      </c>
      <c r="C24" s="35">
        <f>4648906.7-364245.07</f>
        <v>4284661.63</v>
      </c>
      <c r="D24" s="35">
        <f>450909.33-22571.35</f>
        <v>428337.98000000004</v>
      </c>
      <c r="E24" s="36">
        <f>B24/B27</f>
        <v>0.048444361172080966</v>
      </c>
      <c r="F24" s="35">
        <f t="shared" si="18"/>
        <v>3856323.65</v>
      </c>
      <c r="G24" s="36">
        <f>F24/F27</f>
        <v>0.04399468467883019</v>
      </c>
      <c r="H24" s="36">
        <f t="shared" si="19"/>
        <v>0.2515630500237458</v>
      </c>
      <c r="I24" s="37">
        <f>19154944.83-1356342.63</f>
        <v>17798602.2</v>
      </c>
      <c r="J24" s="37">
        <f>5494178.94-276921.59</f>
        <v>5217257.350000001</v>
      </c>
      <c r="K24" s="37">
        <f>248464.06-26164.82</f>
        <v>222299.24</v>
      </c>
      <c r="L24" s="39">
        <f t="shared" si="20"/>
        <v>0.05165382608369835</v>
      </c>
      <c r="M24" s="37">
        <f t="shared" si="21"/>
        <v>4994958.11</v>
      </c>
      <c r="N24" s="39">
        <f t="shared" si="22"/>
        <v>0.05125163905078186</v>
      </c>
      <c r="O24" s="39">
        <f t="shared" si="23"/>
        <v>0.2806376620968584</v>
      </c>
      <c r="P24" s="42">
        <f>20088142.44-249101</f>
        <v>19839041.44</v>
      </c>
      <c r="Q24" s="90">
        <f>13367345.83-66368.8</f>
        <v>13300977.03</v>
      </c>
      <c r="R24" s="90">
        <f>9239589.1-5574.99</f>
        <v>9234014.11</v>
      </c>
      <c r="S24" s="36">
        <f>P24/P27</f>
        <v>0.05196990994363181</v>
      </c>
      <c r="T24" s="40">
        <f t="shared" si="24"/>
        <v>4066962.92</v>
      </c>
      <c r="U24" s="36">
        <f>T24/T27</f>
        <v>0.038339248548060915</v>
      </c>
      <c r="V24" s="36">
        <f t="shared" si="25"/>
        <v>0.20499795478021843</v>
      </c>
      <c r="W24" s="91">
        <v>46867.34</v>
      </c>
      <c r="X24" s="91">
        <f>9556480+2113327+4648790</f>
        <v>16318597</v>
      </c>
      <c r="Y24" s="92">
        <v>11817273</v>
      </c>
      <c r="Z24" s="92">
        <f>6602099-1</f>
        <v>6602098</v>
      </c>
      <c r="AA24" s="38">
        <f>X24/X27</f>
        <v>0.038670064607332855</v>
      </c>
      <c r="AB24" s="41">
        <f t="shared" si="26"/>
        <v>5215175</v>
      </c>
      <c r="AC24" s="38">
        <f>AB24/AB27</f>
        <v>0.04314656557830384</v>
      </c>
      <c r="AD24" s="39">
        <f t="shared" si="27"/>
        <v>0.3195847657736753</v>
      </c>
      <c r="AE24" s="42">
        <v>53810.67</v>
      </c>
      <c r="AF24" s="40">
        <v>19583498</v>
      </c>
      <c r="AG24" s="35">
        <v>16269695</v>
      </c>
      <c r="AH24" s="35">
        <v>10788817</v>
      </c>
      <c r="AI24" s="36">
        <f>AF24/AF27</f>
        <v>0.04346394659546706</v>
      </c>
      <c r="AJ24" s="40">
        <f t="shared" si="28"/>
        <v>5480878</v>
      </c>
      <c r="AK24" s="36">
        <f>AJ24/AJ27</f>
        <v>0.04277050810356465</v>
      </c>
      <c r="AL24" s="36">
        <f t="shared" si="29"/>
        <v>0.2798722679676532</v>
      </c>
      <c r="AM24" s="43">
        <v>58850.66</v>
      </c>
      <c r="AN24" s="45">
        <v>24240791</v>
      </c>
      <c r="AO24" s="39">
        <f>AN24/AN27</f>
        <v>0.046569028151388324</v>
      </c>
      <c r="AP24" s="45">
        <v>4873204</v>
      </c>
      <c r="AQ24" s="39">
        <f>AP24/AP27</f>
        <v>0.03485153136102806</v>
      </c>
      <c r="AR24" s="39">
        <f t="shared" si="30"/>
        <v>0.20103320885857232</v>
      </c>
      <c r="AS24" s="42">
        <v>74384</v>
      </c>
      <c r="AT24" s="40">
        <v>29449803</v>
      </c>
      <c r="AU24" s="36">
        <f>AT24/AT27</f>
        <v>0.04747019224334643</v>
      </c>
      <c r="AV24" s="40">
        <v>7034250</v>
      </c>
      <c r="AW24" s="36">
        <f>AV24/AV27</f>
        <v>0.04086663253411309</v>
      </c>
      <c r="AX24" s="36">
        <f t="shared" si="31"/>
        <v>0.23885558759085757</v>
      </c>
      <c r="AY24" s="43" t="e">
        <f>#REF!</f>
        <v>#REF!</v>
      </c>
      <c r="AZ24" s="45" t="e">
        <f>#REF!</f>
        <v>#REF!</v>
      </c>
      <c r="BA24" s="39" t="e">
        <f>AZ24/AZ27</f>
        <v>#REF!</v>
      </c>
      <c r="BB24" s="45" t="e">
        <f>-#REF!</f>
        <v>#REF!</v>
      </c>
      <c r="BC24" s="39" t="e">
        <f>BB24/BB27</f>
        <v>#REF!</v>
      </c>
      <c r="BD24" s="40">
        <v>29011486</v>
      </c>
      <c r="BE24" s="46">
        <f>BD24/BD27</f>
        <v>0.05390406684237576</v>
      </c>
      <c r="BF24" s="35">
        <v>5941773</v>
      </c>
      <c r="BG24" s="36">
        <f>BF24/BF27</f>
        <v>0.0418315180328258</v>
      </c>
    </row>
    <row r="25" spans="1:59" s="2" customFormat="1" ht="20.25">
      <c r="A25" s="23" t="s">
        <v>9</v>
      </c>
      <c r="B25" s="49">
        <f>59410934.3-8403802.5</f>
        <v>51007131.8</v>
      </c>
      <c r="C25" s="49">
        <f>5373824.06-170839.3</f>
        <v>5202984.76</v>
      </c>
      <c r="D25" s="49">
        <f>180231.88-26664.3</f>
        <v>153567.58000000002</v>
      </c>
      <c r="E25" s="50">
        <f>B25/B27</f>
        <v>0.16119349520842852</v>
      </c>
      <c r="F25" s="35">
        <f t="shared" si="18"/>
        <v>5049417.18</v>
      </c>
      <c r="G25" s="50">
        <f>F25/F27</f>
        <v>0.05760603538708893</v>
      </c>
      <c r="H25" s="50">
        <f t="shared" si="19"/>
        <v>0.09899433670959715</v>
      </c>
      <c r="I25" s="48">
        <f>46637183.02-6099199</f>
        <v>40537984.02</v>
      </c>
      <c r="J25" s="48">
        <f>5800415.04-147244.79</f>
        <v>5653170.25</v>
      </c>
      <c r="K25" s="48">
        <f>298628.07-23444.26</f>
        <v>275183.81</v>
      </c>
      <c r="L25" s="93">
        <f t="shared" si="20"/>
        <v>0.11764642823203403</v>
      </c>
      <c r="M25" s="37">
        <f t="shared" si="21"/>
        <v>5377986.44</v>
      </c>
      <c r="N25" s="39">
        <f t="shared" si="22"/>
        <v>0.05518176804947806</v>
      </c>
      <c r="O25" s="39">
        <f t="shared" si="23"/>
        <v>0.1326653648426792</v>
      </c>
      <c r="P25" s="42">
        <f>44452248.29-291804</f>
        <v>44160444.29</v>
      </c>
      <c r="Q25" s="90">
        <f>5400949.33-47911.56</f>
        <v>5353037.7700000005</v>
      </c>
      <c r="R25" s="90">
        <f>204292.79+778.92</f>
        <v>205071.71000000002</v>
      </c>
      <c r="S25" s="50">
        <f>P25/P27</f>
        <v>0.11568171374423368</v>
      </c>
      <c r="T25" s="35">
        <f t="shared" si="24"/>
        <v>5147966.0600000005</v>
      </c>
      <c r="U25" s="50">
        <f>T25/T27</f>
        <v>0.04852986225193366</v>
      </c>
      <c r="V25" s="36">
        <f t="shared" si="25"/>
        <v>0.11657414554512854</v>
      </c>
      <c r="W25" s="91">
        <v>190629.88</v>
      </c>
      <c r="X25" s="91">
        <v>45055676</v>
      </c>
      <c r="Y25" s="92">
        <v>6058367</v>
      </c>
      <c r="Z25" s="92">
        <v>207603</v>
      </c>
      <c r="AA25" s="52">
        <f>X25/X27</f>
        <v>0.10676811872044248</v>
      </c>
      <c r="AB25" s="41">
        <f t="shared" si="26"/>
        <v>5850764</v>
      </c>
      <c r="AC25" s="52">
        <f>AB25/AB27</f>
        <v>0.04840496677660468</v>
      </c>
      <c r="AD25" s="39">
        <f t="shared" si="27"/>
        <v>0.12985631377498363</v>
      </c>
      <c r="AE25" s="42">
        <v>203945.61</v>
      </c>
      <c r="AF25" s="40">
        <v>46172085</v>
      </c>
      <c r="AG25" s="53">
        <v>7373172</v>
      </c>
      <c r="AH25" s="53">
        <v>244218</v>
      </c>
      <c r="AI25" s="47">
        <f>AF25/AF27</f>
        <v>0.10247510616547492</v>
      </c>
      <c r="AJ25" s="35">
        <f t="shared" si="28"/>
        <v>7128954</v>
      </c>
      <c r="AK25" s="47">
        <f>AJ25/AJ27</f>
        <v>0.05563141249028707</v>
      </c>
      <c r="AL25" s="36">
        <f t="shared" si="29"/>
        <v>0.15439965511628942</v>
      </c>
      <c r="AM25" s="43">
        <v>232644.62</v>
      </c>
      <c r="AN25" s="45">
        <v>54812515</v>
      </c>
      <c r="AO25" s="54">
        <f>AN25/AN27</f>
        <v>0.10530042332708511</v>
      </c>
      <c r="AP25" s="45">
        <v>8486165</v>
      </c>
      <c r="AQ25" s="54">
        <f>AP25/AP27</f>
        <v>0.06069022467197325</v>
      </c>
      <c r="AR25" s="39">
        <f t="shared" si="30"/>
        <v>0.15482166800775335</v>
      </c>
      <c r="AS25" s="42">
        <v>261690</v>
      </c>
      <c r="AT25" s="40">
        <v>62131366</v>
      </c>
      <c r="AU25" s="47">
        <f>AT25/AT27</f>
        <v>0.10014966444297498</v>
      </c>
      <c r="AV25" s="35">
        <v>10823647</v>
      </c>
      <c r="AW25" s="47">
        <f>AV25/AV27</f>
        <v>0.06288175777488084</v>
      </c>
      <c r="AX25" s="47">
        <f t="shared" si="31"/>
        <v>0.17420584314853146</v>
      </c>
      <c r="AY25" s="43" t="e">
        <f>#REF!</f>
        <v>#REF!</v>
      </c>
      <c r="AZ25" s="45" t="e">
        <f>#REF!</f>
        <v>#REF!</v>
      </c>
      <c r="BA25" s="54" t="e">
        <f>AZ25/AZ27</f>
        <v>#REF!</v>
      </c>
      <c r="BB25" s="45" t="e">
        <f>-#REF!</f>
        <v>#REF!</v>
      </c>
      <c r="BC25" s="54" t="e">
        <f>BB25/BB27</f>
        <v>#REF!</v>
      </c>
      <c r="BD25" s="40">
        <v>34797048</v>
      </c>
      <c r="BE25" s="46">
        <f>BD25/BD27</f>
        <v>0.0646537857905437</v>
      </c>
      <c r="BF25" s="53">
        <v>9500721</v>
      </c>
      <c r="BG25" s="47">
        <f>BF25/BF27</f>
        <v>0.06688737214234654</v>
      </c>
    </row>
    <row r="26" spans="1:59" s="2" customFormat="1" ht="20.25">
      <c r="A26" s="23" t="s">
        <v>4</v>
      </c>
      <c r="B26" s="35">
        <f>763377.98-920</f>
        <v>762457.98</v>
      </c>
      <c r="C26" s="35">
        <f>25566.29-74</f>
        <v>25492.29</v>
      </c>
      <c r="D26" s="35">
        <f>37-0</f>
        <v>37</v>
      </c>
      <c r="E26" s="36">
        <f>B26/B27</f>
        <v>0.002409531028477827</v>
      </c>
      <c r="F26" s="35">
        <f t="shared" si="18"/>
        <v>25455.29</v>
      </c>
      <c r="G26" s="36">
        <f>F26/F27</f>
        <v>0.0002904054634932365</v>
      </c>
      <c r="H26" s="36">
        <f t="shared" si="19"/>
        <v>0.03338582671795238</v>
      </c>
      <c r="I26" s="37">
        <f>746847.08-78715</f>
        <v>668132.08</v>
      </c>
      <c r="J26" s="37">
        <f>15635.89</f>
        <v>15635.89</v>
      </c>
      <c r="K26" s="37">
        <v>779.45</v>
      </c>
      <c r="L26" s="39">
        <f t="shared" si="20"/>
        <v>0.0019390049776638993</v>
      </c>
      <c r="M26" s="37">
        <f t="shared" si="21"/>
        <v>14856.439999999999</v>
      </c>
      <c r="N26" s="39">
        <f t="shared" si="22"/>
        <v>0.0001524370943041998</v>
      </c>
      <c r="O26" s="39">
        <f t="shared" si="23"/>
        <v>0.022235783080495102</v>
      </c>
      <c r="P26" s="42">
        <f>782673.78-872</f>
        <v>781801.78</v>
      </c>
      <c r="Q26" s="90">
        <f>25978.77-6470</f>
        <v>19508.77</v>
      </c>
      <c r="R26" s="90">
        <v>35.82</v>
      </c>
      <c r="S26" s="36">
        <f>P26/P27</f>
        <v>0.002047990484986408</v>
      </c>
      <c r="T26" s="40">
        <f t="shared" si="24"/>
        <v>19472.95</v>
      </c>
      <c r="U26" s="36">
        <f>T26/T27</f>
        <v>0.00018357144746575729</v>
      </c>
      <c r="V26" s="36">
        <f t="shared" si="25"/>
        <v>0.02490778417004883</v>
      </c>
      <c r="W26" s="91">
        <v>4679.23</v>
      </c>
      <c r="X26" s="91">
        <v>782124</v>
      </c>
      <c r="Y26" s="92">
        <v>19615</v>
      </c>
      <c r="Z26" s="92">
        <v>25</v>
      </c>
      <c r="AA26" s="52">
        <f>X26/X27</f>
        <v>0.0018533937452432708</v>
      </c>
      <c r="AB26" s="51">
        <f t="shared" si="26"/>
        <v>19590</v>
      </c>
      <c r="AC26" s="52">
        <f>AB26/AB27</f>
        <v>0.00016207341454102156</v>
      </c>
      <c r="AD26" s="39">
        <f t="shared" si="27"/>
        <v>0.025047179219663377</v>
      </c>
      <c r="AE26" s="55">
        <v>6368.39</v>
      </c>
      <c r="AF26" s="40">
        <v>1230079</v>
      </c>
      <c r="AG26" s="49">
        <v>18574</v>
      </c>
      <c r="AH26" s="49">
        <v>583</v>
      </c>
      <c r="AI26" s="50">
        <f>AF26/AF27</f>
        <v>0.0027300581318110547</v>
      </c>
      <c r="AJ26" s="94">
        <f t="shared" si="28"/>
        <v>17991</v>
      </c>
      <c r="AK26" s="50">
        <f>AJ26/AJ27</f>
        <v>0.00014039433304139073</v>
      </c>
      <c r="AL26" s="50">
        <f t="shared" si="29"/>
        <v>0.014625889881869376</v>
      </c>
      <c r="AM26" s="43">
        <v>10240.69</v>
      </c>
      <c r="AN26" s="95">
        <v>2069693</v>
      </c>
      <c r="AO26" s="93">
        <f>AN26/AN27</f>
        <v>0.003976091026969019</v>
      </c>
      <c r="AP26" s="95">
        <v>15486</v>
      </c>
      <c r="AQ26" s="93">
        <f>AP26/AP27</f>
        <v>0.00011075071239719917</v>
      </c>
      <c r="AR26" s="54">
        <f t="shared" si="30"/>
        <v>0.007482269109476623</v>
      </c>
      <c r="AS26" s="55">
        <v>12705</v>
      </c>
      <c r="AT26" s="40">
        <v>2484747</v>
      </c>
      <c r="AU26" s="50">
        <f>AT26/AT27</f>
        <v>0.004005168311858599</v>
      </c>
      <c r="AV26" s="94">
        <v>22860</v>
      </c>
      <c r="AW26" s="50">
        <f>AV26/AV27</f>
        <v>0.0001328089305512066</v>
      </c>
      <c r="AX26" s="50">
        <f t="shared" si="31"/>
        <v>0.009200131844409109</v>
      </c>
      <c r="AY26" s="43" t="e">
        <f>#REF!</f>
        <v>#REF!</v>
      </c>
      <c r="AZ26" s="95" t="e">
        <f>#REF!</f>
        <v>#REF!</v>
      </c>
      <c r="BA26" s="93" t="e">
        <f>AZ26/AZ27</f>
        <v>#REF!</v>
      </c>
      <c r="BB26" s="95" t="e">
        <f>-#REF!</f>
        <v>#REF!</v>
      </c>
      <c r="BC26" s="93" t="e">
        <f>BB26/BB27</f>
        <v>#REF!</v>
      </c>
      <c r="BD26" s="56">
        <v>1014441</v>
      </c>
      <c r="BE26" s="58">
        <f>BD26/BD27</f>
        <v>0.0018848567588591121</v>
      </c>
      <c r="BF26" s="53">
        <v>12363</v>
      </c>
      <c r="BG26" s="47">
        <f>BF26/BF27</f>
        <v>8.703850810857726E-05</v>
      </c>
    </row>
    <row r="27" spans="1:59" s="3" customFormat="1" ht="24" customHeight="1">
      <c r="A27" s="21" t="s">
        <v>11</v>
      </c>
      <c r="B27" s="65">
        <f aca="true" t="shared" si="32" ref="B27:G27">SUM(B20:B26)</f>
        <v>316434182</v>
      </c>
      <c r="C27" s="65">
        <f t="shared" si="32"/>
        <v>89373701.21000001</v>
      </c>
      <c r="D27" s="65">
        <f t="shared" si="32"/>
        <v>1719393.01</v>
      </c>
      <c r="E27" s="66">
        <f t="shared" si="32"/>
        <v>1</v>
      </c>
      <c r="F27" s="60">
        <f t="shared" si="32"/>
        <v>87654308.2</v>
      </c>
      <c r="G27" s="66">
        <f t="shared" si="32"/>
        <v>0.9999999999999999</v>
      </c>
      <c r="H27" s="61">
        <f t="shared" si="19"/>
        <v>0.27700644616200154</v>
      </c>
      <c r="I27" s="62">
        <f aca="true" t="shared" si="33" ref="I27:N27">SUM(I20:I26)</f>
        <v>344574711.09999996</v>
      </c>
      <c r="J27" s="62">
        <f t="shared" si="33"/>
        <v>98974609.71999998</v>
      </c>
      <c r="K27" s="62">
        <f t="shared" si="33"/>
        <v>1515129.35</v>
      </c>
      <c r="L27" s="96">
        <f t="shared" si="33"/>
        <v>1.0000000000000002</v>
      </c>
      <c r="M27" s="64">
        <f t="shared" si="33"/>
        <v>97459480.37</v>
      </c>
      <c r="N27" s="63">
        <f t="shared" si="33"/>
        <v>1</v>
      </c>
      <c r="O27" s="63">
        <f t="shared" si="23"/>
        <v>0.2828399102733805</v>
      </c>
      <c r="P27" s="60">
        <f aca="true" t="shared" si="34" ref="P27:U27">SUM(P20:P26)</f>
        <v>381740923.96000004</v>
      </c>
      <c r="Q27" s="60">
        <f t="shared" si="34"/>
        <v>116600546.38000001</v>
      </c>
      <c r="R27" s="60">
        <f t="shared" si="34"/>
        <v>10522230.450000001</v>
      </c>
      <c r="S27" s="66">
        <f t="shared" si="34"/>
        <v>0.9999999999999999</v>
      </c>
      <c r="T27" s="60">
        <f t="shared" si="34"/>
        <v>106078315.93</v>
      </c>
      <c r="U27" s="66">
        <f t="shared" si="34"/>
        <v>1</v>
      </c>
      <c r="V27" s="61">
        <f t="shared" si="25"/>
        <v>0.277880387645091</v>
      </c>
      <c r="W27" s="67">
        <f>SUM(W20:W26)</f>
        <v>1829249.12</v>
      </c>
      <c r="X27" s="68">
        <f aca="true" t="shared" si="35" ref="X27:AC27">SUM(X20:X26)</f>
        <v>421995597</v>
      </c>
      <c r="Y27" s="68">
        <f t="shared" si="35"/>
        <v>129130381</v>
      </c>
      <c r="Z27" s="68">
        <f t="shared" si="35"/>
        <v>8259231</v>
      </c>
      <c r="AA27" s="69">
        <f t="shared" si="35"/>
        <v>1</v>
      </c>
      <c r="AB27" s="68">
        <f t="shared" si="35"/>
        <v>120871150</v>
      </c>
      <c r="AC27" s="69">
        <f t="shared" si="35"/>
        <v>1</v>
      </c>
      <c r="AD27" s="63">
        <f t="shared" si="27"/>
        <v>0.2864275145505843</v>
      </c>
      <c r="AE27" s="70">
        <f>SUM(AE20:AE26)</f>
        <v>1941263.5999999999</v>
      </c>
      <c r="AF27" s="60">
        <f aca="true" t="shared" si="36" ref="AF27:AK27">SUM(AF20:AF26)</f>
        <v>450568794</v>
      </c>
      <c r="AG27" s="60">
        <f t="shared" si="36"/>
        <v>140107739</v>
      </c>
      <c r="AH27" s="60">
        <f t="shared" si="36"/>
        <v>11961541</v>
      </c>
      <c r="AI27" s="66">
        <f t="shared" si="36"/>
        <v>1</v>
      </c>
      <c r="AJ27" s="97">
        <f t="shared" si="36"/>
        <v>128146198</v>
      </c>
      <c r="AK27" s="66">
        <f t="shared" si="36"/>
        <v>0.9999999999999999</v>
      </c>
      <c r="AL27" s="98">
        <f t="shared" si="29"/>
        <v>0.2844098386449728</v>
      </c>
      <c r="AM27" s="71">
        <f>SUM(AM20:AM26)</f>
        <v>2168996.76</v>
      </c>
      <c r="AN27" s="99">
        <f>SUM(AN20:AN26)</f>
        <v>520534612</v>
      </c>
      <c r="AO27" s="96">
        <f>SUM(AO20:AO26)</f>
        <v>1</v>
      </c>
      <c r="AP27" s="99">
        <f>SUM(AP20:AP26)</f>
        <v>139827543</v>
      </c>
      <c r="AQ27" s="96">
        <f>SUM(AQ20:AQ26)</f>
        <v>0.9999999999999999</v>
      </c>
      <c r="AR27" s="63">
        <f t="shared" si="30"/>
        <v>0.26862294989905494</v>
      </c>
      <c r="AS27" s="70">
        <f>SUM(AS20:AS26)</f>
        <v>2558109</v>
      </c>
      <c r="AT27" s="60">
        <f>SUM(AT20:AT26)</f>
        <v>620385164</v>
      </c>
      <c r="AU27" s="66">
        <f>SUM(AU20:AU26)</f>
        <v>1</v>
      </c>
      <c r="AV27" s="97">
        <f>SUM(AV20:AV26)</f>
        <v>172126979</v>
      </c>
      <c r="AW27" s="66">
        <f>SUM(AW20:AW26)</f>
        <v>0.9999999999999999</v>
      </c>
      <c r="AX27" s="66">
        <f t="shared" si="31"/>
        <v>0.27745179767064837</v>
      </c>
      <c r="AY27" s="71" t="e">
        <f aca="true" t="shared" si="37" ref="AY27:BG27">SUM(AY20:AY26)</f>
        <v>#REF!</v>
      </c>
      <c r="AZ27" s="99" t="e">
        <f t="shared" si="37"/>
        <v>#REF!</v>
      </c>
      <c r="BA27" s="96" t="e">
        <f t="shared" si="37"/>
        <v>#REF!</v>
      </c>
      <c r="BB27" s="99" t="e">
        <f t="shared" si="37"/>
        <v>#REF!</v>
      </c>
      <c r="BC27" s="96" t="e">
        <f t="shared" si="37"/>
        <v>#REF!</v>
      </c>
      <c r="BD27" s="60">
        <f t="shared" si="37"/>
        <v>538205885</v>
      </c>
      <c r="BE27" s="72">
        <f t="shared" si="37"/>
        <v>1</v>
      </c>
      <c r="BF27" s="60">
        <f t="shared" si="37"/>
        <v>142040578</v>
      </c>
      <c r="BG27" s="61">
        <f t="shared" si="37"/>
        <v>1</v>
      </c>
    </row>
    <row r="28" spans="1:59" s="8" customFormat="1" ht="20.25">
      <c r="A28" s="73"/>
      <c r="B28" s="100"/>
      <c r="C28" s="100"/>
      <c r="D28" s="100"/>
      <c r="E28" s="100"/>
      <c r="F28" s="100"/>
      <c r="G28" s="100"/>
      <c r="H28" s="100"/>
      <c r="I28" s="76"/>
      <c r="J28" s="76"/>
      <c r="K28" s="76"/>
      <c r="L28" s="77"/>
      <c r="M28" s="76"/>
      <c r="N28" s="77"/>
      <c r="O28" s="77"/>
      <c r="P28" s="101"/>
      <c r="Q28" s="76"/>
      <c r="R28" s="76"/>
      <c r="S28" s="77"/>
      <c r="T28" s="76"/>
      <c r="U28" s="77"/>
      <c r="V28" s="77"/>
      <c r="W28" s="102"/>
      <c r="X28" s="101"/>
      <c r="Y28" s="76"/>
      <c r="Z28" s="76"/>
      <c r="AA28" s="77"/>
      <c r="AB28" s="76"/>
      <c r="AC28" s="77"/>
      <c r="AD28" s="77"/>
      <c r="AE28" s="102"/>
      <c r="AF28" s="101"/>
      <c r="AG28" s="76"/>
      <c r="AH28" s="76"/>
      <c r="AI28" s="77"/>
      <c r="AJ28" s="76"/>
      <c r="AK28" s="77"/>
      <c r="AL28" s="77"/>
      <c r="AM28" s="79"/>
      <c r="AN28" s="73"/>
      <c r="AO28" s="73"/>
      <c r="AP28" s="73"/>
      <c r="AQ28" s="73"/>
      <c r="AR28" s="73"/>
      <c r="AS28" s="102"/>
      <c r="AT28" s="101"/>
      <c r="AU28" s="77"/>
      <c r="AV28" s="76"/>
      <c r="AW28" s="77"/>
      <c r="AX28" s="77"/>
      <c r="AY28" s="79"/>
      <c r="AZ28" s="73"/>
      <c r="BA28" s="73"/>
      <c r="BB28" s="73"/>
      <c r="BC28" s="73"/>
      <c r="BD28" s="73"/>
      <c r="BE28" s="73"/>
      <c r="BF28" s="73"/>
      <c r="BG28" s="73"/>
    </row>
    <row r="29" spans="1:59" s="9" customFormat="1" ht="60.75" customHeight="1">
      <c r="A29" s="81" t="s">
        <v>21</v>
      </c>
      <c r="B29" s="86"/>
      <c r="C29" s="86"/>
      <c r="D29" s="86"/>
      <c r="E29" s="86"/>
      <c r="F29" s="86"/>
      <c r="G29" s="86"/>
      <c r="H29" s="86"/>
      <c r="I29" s="103"/>
      <c r="J29" s="103"/>
      <c r="K29" s="103"/>
      <c r="L29" s="104"/>
      <c r="M29" s="84">
        <f>M27/I27</f>
        <v>0.2828399102733805</v>
      </c>
      <c r="N29" s="104"/>
      <c r="O29" s="104"/>
      <c r="P29" s="105"/>
      <c r="Q29" s="103"/>
      <c r="R29" s="103"/>
      <c r="S29" s="104"/>
      <c r="T29" s="84">
        <f>T27/P27</f>
        <v>0.277880387645091</v>
      </c>
      <c r="U29" s="104"/>
      <c r="V29" s="104"/>
      <c r="W29" s="106"/>
      <c r="X29" s="105"/>
      <c r="Y29" s="103"/>
      <c r="Z29" s="103"/>
      <c r="AA29" s="104"/>
      <c r="AB29" s="84">
        <f>AB27/X27</f>
        <v>0.2864275145505843</v>
      </c>
      <c r="AC29" s="104"/>
      <c r="AD29" s="104"/>
      <c r="AE29" s="106"/>
      <c r="AF29" s="105"/>
      <c r="AG29" s="103"/>
      <c r="AH29" s="103"/>
      <c r="AI29" s="104"/>
      <c r="AJ29" s="84">
        <f>AJ27/AF27</f>
        <v>0.2844098386449728</v>
      </c>
      <c r="AK29" s="104"/>
      <c r="AL29" s="104"/>
      <c r="AM29" s="107"/>
      <c r="AN29" s="108"/>
      <c r="AO29" s="108"/>
      <c r="AP29" s="84">
        <f>AP27/AN27</f>
        <v>0.26862294989905494</v>
      </c>
      <c r="AQ29" s="108"/>
      <c r="AR29" s="108"/>
      <c r="AS29" s="106"/>
      <c r="AT29" s="105"/>
      <c r="AU29" s="104"/>
      <c r="AV29" s="84">
        <f>AV27/AT27</f>
        <v>0.27745179767064837</v>
      </c>
      <c r="AW29" s="104"/>
      <c r="AX29" s="104"/>
      <c r="AY29" s="107"/>
      <c r="AZ29" s="108"/>
      <c r="BA29" s="108"/>
      <c r="BB29" s="84" t="e">
        <f>BB27/AZ27</f>
        <v>#REF!</v>
      </c>
      <c r="BC29" s="108"/>
      <c r="BD29" s="108"/>
      <c r="BE29" s="108"/>
      <c r="BF29" s="136">
        <f>BF27/BD27</f>
        <v>0.263914947715594</v>
      </c>
      <c r="BG29" s="108"/>
    </row>
    <row r="30" spans="1:59" s="2" customFormat="1" ht="20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109"/>
      <c r="X30" s="23"/>
      <c r="Y30" s="23"/>
      <c r="Z30" s="23"/>
      <c r="AA30" s="23"/>
      <c r="AB30" s="23"/>
      <c r="AC30" s="23"/>
      <c r="AD30" s="23"/>
      <c r="AE30" s="109"/>
      <c r="AF30" s="23"/>
      <c r="AG30" s="23"/>
      <c r="AH30" s="23"/>
      <c r="AI30" s="23"/>
      <c r="AJ30" s="23"/>
      <c r="AK30" s="23"/>
      <c r="AL30" s="23"/>
      <c r="AM30" s="109"/>
      <c r="AN30" s="23"/>
      <c r="AO30" s="23"/>
      <c r="AP30" s="23"/>
      <c r="AQ30" s="23"/>
      <c r="AR30" s="23"/>
      <c r="AS30" s="109"/>
      <c r="AT30" s="23"/>
      <c r="AU30" s="23"/>
      <c r="AV30" s="23"/>
      <c r="AW30" s="23"/>
      <c r="AX30" s="23"/>
      <c r="AY30" s="109"/>
      <c r="AZ30" s="23"/>
      <c r="BA30" s="23"/>
      <c r="BB30" s="23"/>
      <c r="BC30" s="23"/>
      <c r="BD30" s="23"/>
      <c r="BE30" s="23"/>
      <c r="BF30" s="23"/>
      <c r="BG30" s="23"/>
    </row>
    <row r="31" spans="1:59" s="2" customFormat="1" ht="24" customHeight="1">
      <c r="A31" s="21" t="s">
        <v>15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109"/>
      <c r="X31" s="23"/>
      <c r="Y31" s="23"/>
      <c r="Z31" s="23"/>
      <c r="AA31" s="23"/>
      <c r="AB31" s="23"/>
      <c r="AC31" s="23"/>
      <c r="AD31" s="23"/>
      <c r="AE31" s="109"/>
      <c r="AF31" s="23"/>
      <c r="AG31" s="23"/>
      <c r="AH31" s="23"/>
      <c r="AI31" s="23"/>
      <c r="AJ31" s="23"/>
      <c r="AK31" s="23"/>
      <c r="AL31" s="23"/>
      <c r="AM31" s="109"/>
      <c r="AN31" s="23"/>
      <c r="AO31" s="23"/>
      <c r="AP31" s="23"/>
      <c r="AQ31" s="23"/>
      <c r="AR31" s="23"/>
      <c r="AS31" s="109"/>
      <c r="AT31" s="23"/>
      <c r="AU31" s="23"/>
      <c r="AV31" s="23"/>
      <c r="AW31" s="23"/>
      <c r="AX31" s="23"/>
      <c r="AY31" s="109"/>
      <c r="AZ31" s="23"/>
      <c r="BA31" s="23"/>
      <c r="BB31" s="23"/>
      <c r="BC31" s="23"/>
      <c r="BD31" s="23"/>
      <c r="BE31" s="23"/>
      <c r="BF31" s="23"/>
      <c r="BG31" s="23"/>
    </row>
    <row r="32" spans="1:59" s="2" customFormat="1" ht="24" customHeight="1">
      <c r="A32" s="110" t="s">
        <v>24</v>
      </c>
      <c r="B32" s="137">
        <v>2007</v>
      </c>
      <c r="C32" s="137"/>
      <c r="D32" s="137"/>
      <c r="E32" s="137"/>
      <c r="F32" s="137"/>
      <c r="G32" s="139"/>
      <c r="H32" s="22"/>
      <c r="I32" s="138">
        <v>2008</v>
      </c>
      <c r="J32" s="138"/>
      <c r="K32" s="138"/>
      <c r="L32" s="138"/>
      <c r="M32" s="138"/>
      <c r="N32" s="138"/>
      <c r="O32" s="138"/>
      <c r="P32" s="137">
        <v>2009</v>
      </c>
      <c r="Q32" s="137"/>
      <c r="R32" s="137"/>
      <c r="S32" s="137"/>
      <c r="T32" s="137"/>
      <c r="U32" s="137"/>
      <c r="V32" s="137"/>
      <c r="W32" s="140">
        <v>2010</v>
      </c>
      <c r="X32" s="140"/>
      <c r="Y32" s="140"/>
      <c r="Z32" s="140"/>
      <c r="AA32" s="140"/>
      <c r="AB32" s="140"/>
      <c r="AC32" s="140"/>
      <c r="AD32" s="140"/>
      <c r="AE32" s="137">
        <v>2011</v>
      </c>
      <c r="AF32" s="137"/>
      <c r="AG32" s="137"/>
      <c r="AH32" s="137"/>
      <c r="AI32" s="137"/>
      <c r="AJ32" s="137"/>
      <c r="AK32" s="137"/>
      <c r="AL32" s="137"/>
      <c r="AM32" s="138">
        <v>2012</v>
      </c>
      <c r="AN32" s="138"/>
      <c r="AO32" s="138"/>
      <c r="AP32" s="138"/>
      <c r="AQ32" s="138"/>
      <c r="AR32" s="138"/>
      <c r="AS32" s="137">
        <v>2013</v>
      </c>
      <c r="AT32" s="137"/>
      <c r="AU32" s="137"/>
      <c r="AV32" s="137"/>
      <c r="AW32" s="137"/>
      <c r="AX32" s="137"/>
      <c r="AY32" s="138" t="str">
        <f>AY5</f>
        <v>2014 (through March)</v>
      </c>
      <c r="AZ32" s="138"/>
      <c r="BA32" s="138"/>
      <c r="BB32" s="138"/>
      <c r="BC32" s="138"/>
      <c r="BD32" s="137"/>
      <c r="BE32" s="137"/>
      <c r="BF32" s="137"/>
      <c r="BG32" s="137"/>
    </row>
    <row r="33" spans="1:59" s="2" customFormat="1" ht="41.25" customHeight="1">
      <c r="A33" s="23"/>
      <c r="B33" s="24" t="s">
        <v>0</v>
      </c>
      <c r="C33" s="24" t="s">
        <v>1</v>
      </c>
      <c r="D33" s="24" t="s">
        <v>2</v>
      </c>
      <c r="E33" s="25" t="s">
        <v>12</v>
      </c>
      <c r="F33" s="24" t="s">
        <v>3</v>
      </c>
      <c r="G33" s="25" t="s">
        <v>13</v>
      </c>
      <c r="H33" s="26" t="s">
        <v>17</v>
      </c>
      <c r="I33" s="27" t="s">
        <v>0</v>
      </c>
      <c r="J33" s="27" t="s">
        <v>1</v>
      </c>
      <c r="K33" s="27" t="s">
        <v>2</v>
      </c>
      <c r="L33" s="28" t="s">
        <v>12</v>
      </c>
      <c r="M33" s="27" t="s">
        <v>3</v>
      </c>
      <c r="N33" s="28" t="s">
        <v>13</v>
      </c>
      <c r="O33" s="28" t="s">
        <v>17</v>
      </c>
      <c r="P33" s="29" t="s">
        <v>0</v>
      </c>
      <c r="Q33" s="29" t="s">
        <v>1</v>
      </c>
      <c r="R33" s="29" t="s">
        <v>2</v>
      </c>
      <c r="S33" s="26" t="s">
        <v>12</v>
      </c>
      <c r="T33" s="29" t="s">
        <v>3</v>
      </c>
      <c r="U33" s="26" t="s">
        <v>13</v>
      </c>
      <c r="V33" s="26" t="s">
        <v>20</v>
      </c>
      <c r="W33" s="30" t="s">
        <v>22</v>
      </c>
      <c r="X33" s="31" t="s">
        <v>0</v>
      </c>
      <c r="Y33" s="31" t="s">
        <v>1</v>
      </c>
      <c r="Z33" s="31" t="s">
        <v>2</v>
      </c>
      <c r="AA33" s="32" t="s">
        <v>12</v>
      </c>
      <c r="AB33" s="31" t="s">
        <v>3</v>
      </c>
      <c r="AC33" s="32" t="s">
        <v>13</v>
      </c>
      <c r="AD33" s="28" t="s">
        <v>20</v>
      </c>
      <c r="AE33" s="33" t="s">
        <v>22</v>
      </c>
      <c r="AF33" s="29" t="s">
        <v>0</v>
      </c>
      <c r="AG33" s="29" t="s">
        <v>1</v>
      </c>
      <c r="AH33" s="29" t="s">
        <v>2</v>
      </c>
      <c r="AI33" s="26" t="s">
        <v>12</v>
      </c>
      <c r="AJ33" s="29" t="s">
        <v>3</v>
      </c>
      <c r="AK33" s="26" t="s">
        <v>13</v>
      </c>
      <c r="AL33" s="26" t="s">
        <v>20</v>
      </c>
      <c r="AM33" s="34" t="s">
        <v>22</v>
      </c>
      <c r="AN33" s="27" t="s">
        <v>0</v>
      </c>
      <c r="AO33" s="28" t="s">
        <v>12</v>
      </c>
      <c r="AP33" s="27" t="s">
        <v>3</v>
      </c>
      <c r="AQ33" s="28" t="s">
        <v>13</v>
      </c>
      <c r="AR33" s="28" t="s">
        <v>20</v>
      </c>
      <c r="AS33" s="33" t="s">
        <v>22</v>
      </c>
      <c r="AT33" s="29" t="s">
        <v>0</v>
      </c>
      <c r="AU33" s="26" t="s">
        <v>12</v>
      </c>
      <c r="AV33" s="29" t="s">
        <v>3</v>
      </c>
      <c r="AW33" s="26" t="s">
        <v>13</v>
      </c>
      <c r="AX33" s="26" t="s">
        <v>20</v>
      </c>
      <c r="AY33" s="34" t="s">
        <v>22</v>
      </c>
      <c r="AZ33" s="27" t="s">
        <v>0</v>
      </c>
      <c r="BA33" s="28" t="s">
        <v>12</v>
      </c>
      <c r="BB33" s="27" t="s">
        <v>3</v>
      </c>
      <c r="BC33" s="28" t="s">
        <v>13</v>
      </c>
      <c r="BD33" s="29" t="s">
        <v>0</v>
      </c>
      <c r="BE33" s="26" t="s">
        <v>12</v>
      </c>
      <c r="BF33" s="29" t="s">
        <v>3</v>
      </c>
      <c r="BG33" s="26" t="s">
        <v>13</v>
      </c>
    </row>
    <row r="34" spans="1:59" s="2" customFormat="1" ht="20.25">
      <c r="A34" s="23" t="s">
        <v>10</v>
      </c>
      <c r="B34" s="35">
        <f aca="true" t="shared" si="38" ref="B34:D40">SUM(B7+B20)</f>
        <v>2005755.25</v>
      </c>
      <c r="C34" s="35" t="e">
        <f t="shared" si="38"/>
        <v>#VALUE!</v>
      </c>
      <c r="D34" s="35">
        <f t="shared" si="38"/>
        <v>42388.47000000001</v>
      </c>
      <c r="E34" s="111">
        <f>B34/B41</f>
        <v>0.004603968407242858</v>
      </c>
      <c r="F34" s="35">
        <f aca="true" t="shared" si="39" ref="F34:F40">SUM(F7+F20)</f>
        <v>1113670.53</v>
      </c>
      <c r="G34" s="111">
        <f>F34/F41</f>
        <v>0.011432183914788051</v>
      </c>
      <c r="H34" s="36">
        <f aca="true" t="shared" si="40" ref="H34:H41">F34/B34</f>
        <v>0.5552374996899547</v>
      </c>
      <c r="I34" s="37">
        <f aca="true" t="shared" si="41" ref="I34:K40">SUM(I7+I20)</f>
        <v>3832999.66</v>
      </c>
      <c r="J34" s="37">
        <f t="shared" si="41"/>
        <v>1315045.11</v>
      </c>
      <c r="K34" s="37">
        <f t="shared" si="41"/>
        <v>42101.49</v>
      </c>
      <c r="L34" s="112">
        <f>I34/I41</f>
        <v>0.007985273866540195</v>
      </c>
      <c r="M34" s="37">
        <f aca="true" t="shared" si="42" ref="M34:M40">SUM(M7+M20)</f>
        <v>1272943.62</v>
      </c>
      <c r="N34" s="112">
        <f>M34/M41</f>
        <v>0.0115481293157244</v>
      </c>
      <c r="O34" s="39">
        <f aca="true" t="shared" si="43" ref="O34:O41">M34/I34</f>
        <v>0.33210115651301675</v>
      </c>
      <c r="P34" s="35">
        <f aca="true" t="shared" si="44" ref="P34:R40">SUM(P7+P20)</f>
        <v>6540237</v>
      </c>
      <c r="Q34" s="35">
        <f t="shared" si="44"/>
        <v>1220803.88</v>
      </c>
      <c r="R34" s="35">
        <f t="shared" si="44"/>
        <v>33450.85</v>
      </c>
      <c r="S34" s="111">
        <f>P34/P41</f>
        <v>0.012024371337586983</v>
      </c>
      <c r="T34" s="35">
        <f aca="true" t="shared" si="45" ref="T34:T40">SUM(T7+T20)</f>
        <v>1187353.0299999998</v>
      </c>
      <c r="U34" s="111">
        <f>T34/T41</f>
        <v>0.009832749261512477</v>
      </c>
      <c r="V34" s="36">
        <f aca="true" t="shared" si="46" ref="V34:V41">T34/P34</f>
        <v>0.18154587211442028</v>
      </c>
      <c r="W34" s="113">
        <f aca="true" t="shared" si="47" ref="W34:W40">SUM(W7+W20)</f>
        <v>9935.91</v>
      </c>
      <c r="X34" s="41">
        <f aca="true" t="shared" si="48" ref="X34:Z40">SUM(X7+X20)</f>
        <v>2209699</v>
      </c>
      <c r="Y34" s="41">
        <f t="shared" si="48"/>
        <v>1614896</v>
      </c>
      <c r="Z34" s="41">
        <f t="shared" si="48"/>
        <v>47799</v>
      </c>
      <c r="AA34" s="114">
        <f>X34/X41</f>
        <v>0.0036879217977973497</v>
      </c>
      <c r="AB34" s="41">
        <f aca="true" t="shared" si="49" ref="AB34:AB40">SUM(AB7+AB20)</f>
        <v>1567097</v>
      </c>
      <c r="AC34" s="114">
        <f>AB34/AB41</f>
        <v>0.011561360650294028</v>
      </c>
      <c r="AD34" s="39">
        <f aca="true" t="shared" si="50" ref="AD34:AD41">AB34/X34</f>
        <v>0.7091902562294684</v>
      </c>
      <c r="AE34" s="115">
        <f aca="true" t="shared" si="51" ref="AE34:AE40">SUM(AE7+AE20)</f>
        <v>10352.24</v>
      </c>
      <c r="AF34" s="35">
        <f aca="true" t="shared" si="52" ref="AF34:AH40">SUM(AF7+AF20)</f>
        <v>2531222</v>
      </c>
      <c r="AG34" s="35">
        <f t="shared" si="52"/>
        <v>1696133</v>
      </c>
      <c r="AH34" s="35">
        <f t="shared" si="52"/>
        <v>25941</v>
      </c>
      <c r="AI34" s="111">
        <f>AF34/AF41</f>
        <v>0.003999435666077397</v>
      </c>
      <c r="AJ34" s="35">
        <f aca="true" t="shared" si="53" ref="AJ34:AJ40">SUM(AJ7+AJ20)</f>
        <v>1670192</v>
      </c>
      <c r="AK34" s="111">
        <f>AJ34/AJ41</f>
        <v>0.011794106926413755</v>
      </c>
      <c r="AL34" s="36">
        <f aca="true" t="shared" si="54" ref="AL34:AL41">AJ34/AF34</f>
        <v>0.659836237200846</v>
      </c>
      <c r="AM34" s="43">
        <f aca="true" t="shared" si="55" ref="AM34:AM40">SUM(AM7+AM20)</f>
        <v>9349.83</v>
      </c>
      <c r="AN34" s="45">
        <f aca="true" t="shared" si="56" ref="AN34:AN40">SUM(AN7+AN20)</f>
        <v>2258730</v>
      </c>
      <c r="AO34" s="39">
        <f>AN34/AN41</f>
        <v>0.0031616109876928407</v>
      </c>
      <c r="AP34" s="45">
        <f aca="true" t="shared" si="57" ref="AP34:AP40">SUM(AP7+AP20)</f>
        <v>1620557</v>
      </c>
      <c r="AQ34" s="39">
        <f>AP34/AP41</f>
        <v>0.010479180246928526</v>
      </c>
      <c r="AR34" s="39">
        <f aca="true" t="shared" si="58" ref="AR34:AR41">AP34/AN34</f>
        <v>0.7174637960269709</v>
      </c>
      <c r="AS34" s="115">
        <f aca="true" t="shared" si="59" ref="AS34:AT40">SUM(AS7+AS20)</f>
        <v>10218</v>
      </c>
      <c r="AT34" s="35">
        <f t="shared" si="59"/>
        <v>2714483</v>
      </c>
      <c r="AU34" s="111">
        <f>AT34/AT41</f>
        <v>0.0033328696754008572</v>
      </c>
      <c r="AV34" s="35">
        <f aca="true" t="shared" si="60" ref="AV34:AV40">SUM(AV7+AV20)</f>
        <v>2036544</v>
      </c>
      <c r="AW34" s="111">
        <f>AV34/AV41</f>
        <v>0.010960526236406086</v>
      </c>
      <c r="AX34" s="111">
        <f aca="true" t="shared" si="61" ref="AX34:AX41">AV34/AT34</f>
        <v>0.7502511527977888</v>
      </c>
      <c r="AY34" s="43" t="e">
        <f aca="true" t="shared" si="62" ref="AY34:AZ40">SUM(AY7+AY20)</f>
        <v>#REF!</v>
      </c>
      <c r="AZ34" s="45" t="e">
        <f t="shared" si="62"/>
        <v>#REF!</v>
      </c>
      <c r="BA34" s="39" t="e">
        <f>AZ34/AZ41</f>
        <v>#REF!</v>
      </c>
      <c r="BB34" s="45" t="e">
        <f aca="true" t="shared" si="63" ref="BB34:BB40">SUM(BB7+BB20)</f>
        <v>#REF!</v>
      </c>
      <c r="BC34" s="39" t="e">
        <f>BB34/BB41</f>
        <v>#REF!</v>
      </c>
      <c r="BD34" s="40">
        <f>BD20+BD7</f>
        <v>1683709</v>
      </c>
      <c r="BE34" s="46">
        <f>BD34/BD41</f>
        <v>0.002455107816343023</v>
      </c>
      <c r="BF34" s="35">
        <f>BF20+BF7</f>
        <v>1155267</v>
      </c>
      <c r="BG34" s="36">
        <f>BF34/BF41</f>
        <v>0.007616741668958249</v>
      </c>
    </row>
    <row r="35" spans="1:59" s="2" customFormat="1" ht="20.25">
      <c r="A35" s="23" t="s">
        <v>5</v>
      </c>
      <c r="B35" s="35">
        <f t="shared" si="38"/>
        <v>121878576.9</v>
      </c>
      <c r="C35" s="35">
        <f t="shared" si="38"/>
        <v>49882992.230000004</v>
      </c>
      <c r="D35" s="35">
        <f t="shared" si="38"/>
        <v>841238.64</v>
      </c>
      <c r="E35" s="111">
        <f>B35/B41</f>
        <v>0.27975752154572164</v>
      </c>
      <c r="F35" s="35">
        <f t="shared" si="39"/>
        <v>49407407.84</v>
      </c>
      <c r="G35" s="111">
        <f>F35/F41</f>
        <v>0.5071828318738227</v>
      </c>
      <c r="H35" s="36">
        <f t="shared" si="40"/>
        <v>0.40538221807872127</v>
      </c>
      <c r="I35" s="37">
        <f t="shared" si="41"/>
        <v>143904012.28</v>
      </c>
      <c r="J35" s="37">
        <f t="shared" si="41"/>
        <v>55240121.69</v>
      </c>
      <c r="K35" s="37">
        <f t="shared" si="41"/>
        <v>752713.3400000001</v>
      </c>
      <c r="L35" s="112">
        <f>I35/I41</f>
        <v>0.29979469096789935</v>
      </c>
      <c r="M35" s="37">
        <f t="shared" si="42"/>
        <v>54487408.35</v>
      </c>
      <c r="N35" s="112">
        <f>M35/M41</f>
        <v>0.49430911771605524</v>
      </c>
      <c r="O35" s="39">
        <f t="shared" si="43"/>
        <v>0.3786371727007972</v>
      </c>
      <c r="P35" s="35">
        <f t="shared" si="44"/>
        <v>164356752.19</v>
      </c>
      <c r="Q35" s="35">
        <f t="shared" si="44"/>
        <v>61293685.800000004</v>
      </c>
      <c r="R35" s="35">
        <f t="shared" si="44"/>
        <v>876757.3200000001</v>
      </c>
      <c r="S35" s="111">
        <f>P35/P41</f>
        <v>0.3021735481714688</v>
      </c>
      <c r="T35" s="35">
        <f t="shared" si="45"/>
        <v>60416928.480000004</v>
      </c>
      <c r="U35" s="111">
        <f>T35/T41</f>
        <v>0.5003267721433888</v>
      </c>
      <c r="V35" s="36">
        <f t="shared" si="46"/>
        <v>0.36759626650541694</v>
      </c>
      <c r="W35" s="113">
        <f t="shared" si="47"/>
        <v>734385</v>
      </c>
      <c r="X35" s="41">
        <f t="shared" si="48"/>
        <v>174147588</v>
      </c>
      <c r="Y35" s="41">
        <f t="shared" si="48"/>
        <v>63416275</v>
      </c>
      <c r="Z35" s="41">
        <f t="shared" si="48"/>
        <v>991945</v>
      </c>
      <c r="AA35" s="114">
        <f>X35/X41</f>
        <v>0.29064713602125547</v>
      </c>
      <c r="AB35" s="41">
        <f t="shared" si="49"/>
        <v>62424330</v>
      </c>
      <c r="AC35" s="114">
        <f>AB35/AB41</f>
        <v>0.46053957890479597</v>
      </c>
      <c r="AD35" s="39">
        <f t="shared" si="50"/>
        <v>0.358456471989724</v>
      </c>
      <c r="AE35" s="115">
        <f t="shared" si="51"/>
        <v>741433.27</v>
      </c>
      <c r="AF35" s="35">
        <f t="shared" si="52"/>
        <v>182802049</v>
      </c>
      <c r="AG35" s="35">
        <f t="shared" si="52"/>
        <v>63939226</v>
      </c>
      <c r="AH35" s="35">
        <f t="shared" si="52"/>
        <v>550521</v>
      </c>
      <c r="AI35" s="111">
        <f>AF35/AF41</f>
        <v>0.28883481362070496</v>
      </c>
      <c r="AJ35" s="35">
        <f t="shared" si="53"/>
        <v>63388705</v>
      </c>
      <c r="AK35" s="111">
        <f>AJ35/AJ41</f>
        <v>0.4476210906871176</v>
      </c>
      <c r="AL35" s="36">
        <f t="shared" si="54"/>
        <v>0.3467614577996333</v>
      </c>
      <c r="AM35" s="43">
        <f t="shared" si="55"/>
        <v>834725.61</v>
      </c>
      <c r="AN35" s="45">
        <f t="shared" si="56"/>
        <v>211395014</v>
      </c>
      <c r="AO35" s="39">
        <f>AN35/AN41</f>
        <v>0.29589583483013987</v>
      </c>
      <c r="AP35" s="45">
        <f t="shared" si="57"/>
        <v>71689365</v>
      </c>
      <c r="AQ35" s="39">
        <f>AP35/AP41</f>
        <v>0.46357257265424734</v>
      </c>
      <c r="AR35" s="39">
        <f t="shared" si="58"/>
        <v>0.3391251460642303</v>
      </c>
      <c r="AS35" s="115">
        <f t="shared" si="59"/>
        <v>1009773</v>
      </c>
      <c r="AT35" s="35">
        <f t="shared" si="59"/>
        <v>254765287</v>
      </c>
      <c r="AU35" s="111">
        <f>AT35/AT41</f>
        <v>0.3128033954852899</v>
      </c>
      <c r="AV35" s="35">
        <f t="shared" si="60"/>
        <v>89134136</v>
      </c>
      <c r="AW35" s="111">
        <f>AV35/AV41</f>
        <v>0.4797131985301512</v>
      </c>
      <c r="AX35" s="111">
        <f t="shared" si="61"/>
        <v>0.3498676646634359</v>
      </c>
      <c r="AY35" s="43" t="e">
        <f t="shared" si="62"/>
        <v>#REF!</v>
      </c>
      <c r="AZ35" s="45" t="e">
        <f t="shared" si="62"/>
        <v>#REF!</v>
      </c>
      <c r="BA35" s="39" t="e">
        <f>AZ35/AZ41</f>
        <v>#REF!</v>
      </c>
      <c r="BB35" s="45" t="e">
        <f t="shared" si="63"/>
        <v>#REF!</v>
      </c>
      <c r="BC35" s="39" t="e">
        <f>BB35/BB41</f>
        <v>#REF!</v>
      </c>
      <c r="BD35" s="40">
        <f aca="true" t="shared" si="64" ref="BD35:BD40">BD21+BD8</f>
        <v>243830011</v>
      </c>
      <c r="BE35" s="46">
        <f>BD35/BD41</f>
        <v>0.3555418221706395</v>
      </c>
      <c r="BF35" s="35">
        <f aca="true" t="shared" si="65" ref="BF35:BF40">BF21+BF8</f>
        <v>76356610</v>
      </c>
      <c r="BG35" s="36">
        <f>BF35/BF41</f>
        <v>0.5034235142935738</v>
      </c>
    </row>
    <row r="36" spans="1:59" s="2" customFormat="1" ht="20.25">
      <c r="A36" s="23" t="s">
        <v>6</v>
      </c>
      <c r="B36" s="35">
        <f t="shared" si="38"/>
        <v>77903147.05</v>
      </c>
      <c r="C36" s="35">
        <f t="shared" si="38"/>
        <v>16317293.02</v>
      </c>
      <c r="D36" s="35">
        <f t="shared" si="38"/>
        <v>192915.29</v>
      </c>
      <c r="E36" s="111">
        <f>B36/B41</f>
        <v>0.1788172449470067</v>
      </c>
      <c r="F36" s="35">
        <f t="shared" si="39"/>
        <v>22360067.54</v>
      </c>
      <c r="G36" s="111">
        <f>F36/F41</f>
        <v>0.2295332394800484</v>
      </c>
      <c r="H36" s="36">
        <f t="shared" si="40"/>
        <v>0.287023931467734</v>
      </c>
      <c r="I36" s="37">
        <f t="shared" si="41"/>
        <v>99380724.39</v>
      </c>
      <c r="J36" s="37">
        <f t="shared" si="41"/>
        <v>27008520.819999997</v>
      </c>
      <c r="K36" s="37">
        <f t="shared" si="41"/>
        <v>251291.33000000002</v>
      </c>
      <c r="L36" s="112">
        <f>I36/I41</f>
        <v>0.20703949170433808</v>
      </c>
      <c r="M36" s="37">
        <f t="shared" si="42"/>
        <v>26757229.49</v>
      </c>
      <c r="N36" s="112">
        <f>M36/M41</f>
        <v>0.2427412663264964</v>
      </c>
      <c r="O36" s="39">
        <f t="shared" si="43"/>
        <v>0.2692396302626709</v>
      </c>
      <c r="P36" s="35">
        <f t="shared" si="44"/>
        <v>113939477.29</v>
      </c>
      <c r="Q36" s="35">
        <f t="shared" si="44"/>
        <v>31373999.86</v>
      </c>
      <c r="R36" s="35">
        <f t="shared" si="44"/>
        <v>186456.55</v>
      </c>
      <c r="S36" s="111">
        <f>P36/P41</f>
        <v>0.20948026576797127</v>
      </c>
      <c r="T36" s="35">
        <f t="shared" si="45"/>
        <v>31187543.310000002</v>
      </c>
      <c r="U36" s="111">
        <f>T36/T41</f>
        <v>0.2582713697625305</v>
      </c>
      <c r="V36" s="36">
        <f t="shared" si="46"/>
        <v>0.2737202596657621</v>
      </c>
      <c r="W36" s="113">
        <f t="shared" si="47"/>
        <v>643720.24</v>
      </c>
      <c r="X36" s="41">
        <f t="shared" si="48"/>
        <v>126270860</v>
      </c>
      <c r="Y36" s="41">
        <f t="shared" si="48"/>
        <v>37781628</v>
      </c>
      <c r="Z36" s="41">
        <f t="shared" si="48"/>
        <v>359018</v>
      </c>
      <c r="AA36" s="114">
        <f>X36/X41</f>
        <v>0.2107423033728202</v>
      </c>
      <c r="AB36" s="41">
        <f t="shared" si="49"/>
        <v>37422610</v>
      </c>
      <c r="AC36" s="114">
        <f>AB36/AB41</f>
        <v>0.276087753779951</v>
      </c>
      <c r="AD36" s="39">
        <f t="shared" si="50"/>
        <v>0.29636774470372657</v>
      </c>
      <c r="AE36" s="115">
        <f t="shared" si="51"/>
        <v>688960.22</v>
      </c>
      <c r="AF36" s="35">
        <f t="shared" si="52"/>
        <v>136511354</v>
      </c>
      <c r="AG36" s="35">
        <f t="shared" si="52"/>
        <v>38391145</v>
      </c>
      <c r="AH36" s="35">
        <f t="shared" si="52"/>
        <v>263261</v>
      </c>
      <c r="AI36" s="111">
        <f>AF36/AF41</f>
        <v>0.21569359701050217</v>
      </c>
      <c r="AJ36" s="35">
        <f t="shared" si="53"/>
        <v>38127884</v>
      </c>
      <c r="AK36" s="111">
        <f>AJ36/AJ41</f>
        <v>0.26924110567761084</v>
      </c>
      <c r="AL36" s="36">
        <f t="shared" si="54"/>
        <v>0.2793019253182413</v>
      </c>
      <c r="AM36" s="43">
        <f t="shared" si="55"/>
        <v>728848.09</v>
      </c>
      <c r="AN36" s="45">
        <f t="shared" si="56"/>
        <v>146544024</v>
      </c>
      <c r="AO36" s="39">
        <f>AN36/AN41</f>
        <v>0.20512199176489593</v>
      </c>
      <c r="AP36" s="45">
        <f t="shared" si="57"/>
        <v>38302130</v>
      </c>
      <c r="AQ36" s="39">
        <f>AP36/AP41</f>
        <v>0.24767714070612046</v>
      </c>
      <c r="AR36" s="39">
        <f t="shared" si="58"/>
        <v>0.26136944349228464</v>
      </c>
      <c r="AS36" s="115">
        <f t="shared" si="59"/>
        <v>746128</v>
      </c>
      <c r="AT36" s="35">
        <f t="shared" si="59"/>
        <v>151400989</v>
      </c>
      <c r="AU36" s="111">
        <f>AT36/AT41</f>
        <v>0.1858916652135227</v>
      </c>
      <c r="AV36" s="35">
        <f t="shared" si="60"/>
        <v>39307923</v>
      </c>
      <c r="AW36" s="111">
        <f>AV36/AV41</f>
        <v>0.2115522774563821</v>
      </c>
      <c r="AX36" s="111">
        <f t="shared" si="61"/>
        <v>0.259627914319635</v>
      </c>
      <c r="AY36" s="43" t="e">
        <f t="shared" si="62"/>
        <v>#REF!</v>
      </c>
      <c r="AZ36" s="45" t="e">
        <f t="shared" si="62"/>
        <v>#REF!</v>
      </c>
      <c r="BA36" s="39" t="e">
        <f>AZ36/AZ41</f>
        <v>#REF!</v>
      </c>
      <c r="BB36" s="45" t="e">
        <f t="shared" si="63"/>
        <v>#REF!</v>
      </c>
      <c r="BC36" s="39" t="e">
        <f>BB36/BB41</f>
        <v>#REF!</v>
      </c>
      <c r="BD36" s="40">
        <f t="shared" si="64"/>
        <v>115546262</v>
      </c>
      <c r="BE36" s="46">
        <f>BD36/BD41</f>
        <v>0.16848429923782485</v>
      </c>
      <c r="BF36" s="35">
        <f t="shared" si="65"/>
        <v>27860669</v>
      </c>
      <c r="BG36" s="36">
        <f>BF36/BF41</f>
        <v>0.18368699053755827</v>
      </c>
    </row>
    <row r="37" spans="1:59" s="2" customFormat="1" ht="20.25">
      <c r="A37" s="23" t="s">
        <v>7</v>
      </c>
      <c r="B37" s="35">
        <f t="shared" si="38"/>
        <v>73519202.88</v>
      </c>
      <c r="C37" s="35">
        <f t="shared" si="38"/>
        <v>13335279.62</v>
      </c>
      <c r="D37" s="35">
        <f t="shared" si="38"/>
        <v>64282.87</v>
      </c>
      <c r="E37" s="111">
        <f>B37/B41</f>
        <v>0.16875443172101787</v>
      </c>
      <c r="F37" s="35">
        <f t="shared" si="39"/>
        <v>15035253.19</v>
      </c>
      <c r="G37" s="111">
        <f>F37/F41</f>
        <v>0.15434167919796146</v>
      </c>
      <c r="H37" s="36">
        <f t="shared" si="40"/>
        <v>0.20450783742229825</v>
      </c>
      <c r="I37" s="37">
        <f t="shared" si="41"/>
        <v>82389616.04</v>
      </c>
      <c r="J37" s="37">
        <f t="shared" si="41"/>
        <v>16719860.43</v>
      </c>
      <c r="K37" s="37">
        <f t="shared" si="41"/>
        <v>58670.57</v>
      </c>
      <c r="L37" s="112">
        <f>I37/I41</f>
        <v>0.17164197917995455</v>
      </c>
      <c r="M37" s="37">
        <f t="shared" si="42"/>
        <v>16661189.860000001</v>
      </c>
      <c r="N37" s="112">
        <f>M37/M41</f>
        <v>0.15115011539718948</v>
      </c>
      <c r="O37" s="39">
        <f t="shared" si="43"/>
        <v>0.20222439016964255</v>
      </c>
      <c r="P37" s="35">
        <f t="shared" si="44"/>
        <v>85462102.53</v>
      </c>
      <c r="Q37" s="35">
        <f t="shared" si="44"/>
        <v>18460986.93</v>
      </c>
      <c r="R37" s="35">
        <f t="shared" si="44"/>
        <v>108299.56</v>
      </c>
      <c r="S37" s="111">
        <f>P37/P41</f>
        <v>0.15712397824599506</v>
      </c>
      <c r="T37" s="35">
        <f t="shared" si="45"/>
        <v>18352687.369999997</v>
      </c>
      <c r="U37" s="111">
        <f>T37/T41</f>
        <v>0.1519829137793474</v>
      </c>
      <c r="V37" s="36">
        <f t="shared" si="46"/>
        <v>0.21474649963774997</v>
      </c>
      <c r="W37" s="113">
        <f t="shared" si="47"/>
        <v>463224.56</v>
      </c>
      <c r="X37" s="41">
        <f t="shared" si="48"/>
        <v>102649605</v>
      </c>
      <c r="Y37" s="41">
        <f t="shared" si="48"/>
        <v>22792885</v>
      </c>
      <c r="Z37" s="41">
        <f t="shared" si="48"/>
        <v>126061</v>
      </c>
      <c r="AA37" s="114">
        <f>X37/X41</f>
        <v>0.17131913252202577</v>
      </c>
      <c r="AB37" s="41">
        <f t="shared" si="49"/>
        <v>22666824</v>
      </c>
      <c r="AC37" s="114">
        <f>AB37/AB41</f>
        <v>0.16722597711612</v>
      </c>
      <c r="AD37" s="39">
        <f t="shared" si="50"/>
        <v>0.22081744980898854</v>
      </c>
      <c r="AE37" s="115">
        <f t="shared" si="51"/>
        <v>489055.85</v>
      </c>
      <c r="AF37" s="35">
        <f t="shared" si="52"/>
        <v>108044279</v>
      </c>
      <c r="AG37" s="35">
        <f t="shared" si="52"/>
        <v>25633497</v>
      </c>
      <c r="AH37" s="35">
        <f t="shared" si="52"/>
        <v>190924</v>
      </c>
      <c r="AI37" s="111">
        <f>AF37/AF41</f>
        <v>0.1707144386972842</v>
      </c>
      <c r="AJ37" s="35">
        <f t="shared" si="53"/>
        <v>25442573</v>
      </c>
      <c r="AK37" s="111">
        <f>AJ37/AJ41</f>
        <v>0.17966343177615962</v>
      </c>
      <c r="AL37" s="36">
        <f t="shared" si="54"/>
        <v>0.2354828338481485</v>
      </c>
      <c r="AM37" s="43">
        <f t="shared" si="55"/>
        <v>585158.69</v>
      </c>
      <c r="AN37" s="45">
        <f t="shared" si="56"/>
        <v>131927398</v>
      </c>
      <c r="AO37" s="39">
        <f>AN37/AN41</f>
        <v>0.18466266932945793</v>
      </c>
      <c r="AP37" s="45">
        <f t="shared" si="57"/>
        <v>29235870</v>
      </c>
      <c r="AQ37" s="39">
        <f>AP37/AP41</f>
        <v>0.1890510185113947</v>
      </c>
      <c r="AR37" s="39">
        <f t="shared" si="58"/>
        <v>0.22160575015661266</v>
      </c>
      <c r="AS37" s="115">
        <f t="shared" si="59"/>
        <v>713871</v>
      </c>
      <c r="AT37" s="35">
        <f t="shared" si="59"/>
        <v>166560775</v>
      </c>
      <c r="AU37" s="111">
        <f>AT37/AT41</f>
        <v>0.20450500375532477</v>
      </c>
      <c r="AV37" s="35">
        <f t="shared" si="60"/>
        <v>36932817</v>
      </c>
      <c r="AW37" s="111">
        <f>AV37/AV41</f>
        <v>0.19876963606624</v>
      </c>
      <c r="AX37" s="111">
        <f t="shared" si="61"/>
        <v>0.22173778310049289</v>
      </c>
      <c r="AY37" s="43" t="e">
        <f t="shared" si="62"/>
        <v>#REF!</v>
      </c>
      <c r="AZ37" s="45" t="e">
        <f t="shared" si="62"/>
        <v>#REF!</v>
      </c>
      <c r="BA37" s="39" t="e">
        <f>AZ37/AZ41</f>
        <v>#REF!</v>
      </c>
      <c r="BB37" s="45" t="e">
        <f t="shared" si="63"/>
        <v>#REF!</v>
      </c>
      <c r="BC37" s="39" t="e">
        <f>BB37/BB41</f>
        <v>#REF!</v>
      </c>
      <c r="BD37" s="40">
        <f>BD23+BD10</f>
        <v>153888398</v>
      </c>
      <c r="BE37" s="46">
        <f>BD37/BD41</f>
        <v>0.22439305650460148</v>
      </c>
      <c r="BF37" s="35">
        <f t="shared" si="65"/>
        <v>30420731</v>
      </c>
      <c r="BG37" s="36">
        <f>BF37/BF41</f>
        <v>0.20056562630791838</v>
      </c>
    </row>
    <row r="38" spans="1:59" s="2" customFormat="1" ht="20.25">
      <c r="A38" s="23" t="s">
        <v>8</v>
      </c>
      <c r="B38" s="35">
        <f t="shared" si="38"/>
        <v>17719907.18</v>
      </c>
      <c r="C38" s="35">
        <f t="shared" si="38"/>
        <v>4339654.43</v>
      </c>
      <c r="D38" s="35">
        <f t="shared" si="38"/>
        <v>428337.98000000004</v>
      </c>
      <c r="E38" s="111">
        <f>B38/B41</f>
        <v>0.04067390218023654</v>
      </c>
      <c r="F38" s="35">
        <f t="shared" si="39"/>
        <v>3960935.38</v>
      </c>
      <c r="G38" s="111">
        <f>F38/F41</f>
        <v>0.04066026757370593</v>
      </c>
      <c r="H38" s="36">
        <f t="shared" si="40"/>
        <v>0.22353025553489383</v>
      </c>
      <c r="I38" s="37">
        <f t="shared" si="41"/>
        <v>19776248.05</v>
      </c>
      <c r="J38" s="37">
        <f t="shared" si="41"/>
        <v>5285034.640000001</v>
      </c>
      <c r="K38" s="37">
        <f t="shared" si="41"/>
        <v>224993.96</v>
      </c>
      <c r="L38" s="112">
        <f>I38/I41</f>
        <v>0.04119978365244141</v>
      </c>
      <c r="M38" s="37">
        <f t="shared" si="42"/>
        <v>5060040.680000001</v>
      </c>
      <c r="N38" s="112">
        <f>M38/M41</f>
        <v>0.04590462860834797</v>
      </c>
      <c r="O38" s="39">
        <f t="shared" si="43"/>
        <v>0.255864543527507</v>
      </c>
      <c r="P38" s="35">
        <f t="shared" si="44"/>
        <v>22412133.700000003</v>
      </c>
      <c r="Q38" s="35">
        <f t="shared" si="44"/>
        <v>13385854.28</v>
      </c>
      <c r="R38" s="35">
        <f t="shared" si="44"/>
        <v>9236134.41</v>
      </c>
      <c r="S38" s="111">
        <f>P38/P41</f>
        <v>0.041205206795479635</v>
      </c>
      <c r="T38" s="35">
        <f t="shared" si="45"/>
        <v>4149719.87</v>
      </c>
      <c r="U38" s="111">
        <f>T38/T41</f>
        <v>0.03436480470111417</v>
      </c>
      <c r="V38" s="36">
        <f t="shared" si="46"/>
        <v>0.18515505598648108</v>
      </c>
      <c r="W38" s="113">
        <f t="shared" si="47"/>
        <v>54741.61</v>
      </c>
      <c r="X38" s="41">
        <f t="shared" si="48"/>
        <v>19605973</v>
      </c>
      <c r="Y38" s="41">
        <f t="shared" si="48"/>
        <v>11930535</v>
      </c>
      <c r="Z38" s="41">
        <f t="shared" si="48"/>
        <v>6610361</v>
      </c>
      <c r="AA38" s="114">
        <f>X38/X41</f>
        <v>0.032721784819437535</v>
      </c>
      <c r="AB38" s="41">
        <f t="shared" si="49"/>
        <v>5320174</v>
      </c>
      <c r="AC38" s="114">
        <f>AB38/AB41</f>
        <v>0.0392499317759637</v>
      </c>
      <c r="AD38" s="39">
        <f t="shared" si="50"/>
        <v>0.27135475500246786</v>
      </c>
      <c r="AE38" s="115">
        <f t="shared" si="51"/>
        <v>59875.68</v>
      </c>
      <c r="AF38" s="35">
        <f t="shared" si="52"/>
        <v>21183570</v>
      </c>
      <c r="AG38" s="35">
        <f t="shared" si="52"/>
        <v>16384093</v>
      </c>
      <c r="AH38" s="35">
        <f t="shared" si="52"/>
        <v>10798650</v>
      </c>
      <c r="AI38" s="111">
        <f>AF38/AF41</f>
        <v>0.03347091854955716</v>
      </c>
      <c r="AJ38" s="35">
        <f t="shared" si="53"/>
        <v>5585443</v>
      </c>
      <c r="AK38" s="111">
        <f>AJ38/AJ41</f>
        <v>0.03944175997333793</v>
      </c>
      <c r="AL38" s="36">
        <f t="shared" si="54"/>
        <v>0.2636686356454554</v>
      </c>
      <c r="AM38" s="43">
        <f t="shared" si="55"/>
        <v>63912.26</v>
      </c>
      <c r="AN38" s="45">
        <f t="shared" si="56"/>
        <v>25660041</v>
      </c>
      <c r="AO38" s="39">
        <f>AN38/AN41</f>
        <v>0.035917116065332634</v>
      </c>
      <c r="AP38" s="45">
        <f t="shared" si="57"/>
        <v>4961441</v>
      </c>
      <c r="AQ38" s="39">
        <f>AP38/AP41</f>
        <v>0.03208269411288915</v>
      </c>
      <c r="AR38" s="39">
        <f t="shared" si="58"/>
        <v>0.19335280875038352</v>
      </c>
      <c r="AS38" s="115">
        <f t="shared" si="59"/>
        <v>77418</v>
      </c>
      <c r="AT38" s="35">
        <f t="shared" si="59"/>
        <v>30064632</v>
      </c>
      <c r="AU38" s="111">
        <f>AT38/AT41</f>
        <v>0.036913659173730774</v>
      </c>
      <c r="AV38" s="35">
        <f t="shared" si="60"/>
        <v>7128365</v>
      </c>
      <c r="AW38" s="111">
        <f>AV38/AV41</f>
        <v>0.038364322894658236</v>
      </c>
      <c r="AX38" s="111">
        <f t="shared" si="61"/>
        <v>0.23710135550636377</v>
      </c>
      <c r="AY38" s="43" t="e">
        <f t="shared" si="62"/>
        <v>#REF!</v>
      </c>
      <c r="AZ38" s="45" t="e">
        <f t="shared" si="62"/>
        <v>#REF!</v>
      </c>
      <c r="BA38" s="39" t="e">
        <f>AZ38/AZ41</f>
        <v>#REF!</v>
      </c>
      <c r="BB38" s="45" t="e">
        <f t="shared" si="63"/>
        <v>#REF!</v>
      </c>
      <c r="BC38" s="39" t="e">
        <f>BB38/BB41</f>
        <v>#REF!</v>
      </c>
      <c r="BD38" s="40">
        <f t="shared" si="64"/>
        <v>32603987</v>
      </c>
      <c r="BE38" s="46">
        <f>BD38/BD41</f>
        <v>0.04754164961263871</v>
      </c>
      <c r="BF38" s="35">
        <f>BF24+BF11</f>
        <v>6011384</v>
      </c>
      <c r="BG38" s="36">
        <f>BF38/BF41</f>
        <v>0.039633399898818984</v>
      </c>
    </row>
    <row r="39" spans="1:59" s="2" customFormat="1" ht="20.25">
      <c r="A39" s="23" t="s">
        <v>9</v>
      </c>
      <c r="B39" s="49">
        <f t="shared" si="38"/>
        <v>115425128.65</v>
      </c>
      <c r="C39" s="49">
        <f t="shared" si="38"/>
        <v>5850727.14</v>
      </c>
      <c r="D39" s="49">
        <f t="shared" si="38"/>
        <v>154631.06000000003</v>
      </c>
      <c r="E39" s="116">
        <f>B39/B41</f>
        <v>0.2649444121891455</v>
      </c>
      <c r="F39" s="49">
        <f t="shared" si="39"/>
        <v>5510361.71</v>
      </c>
      <c r="G39" s="116">
        <f>F39/F41</f>
        <v>0.056565624041183864</v>
      </c>
      <c r="H39" s="50">
        <f t="shared" si="40"/>
        <v>0.04773970602804262</v>
      </c>
      <c r="I39" s="48">
        <f t="shared" si="41"/>
        <v>109126234.88</v>
      </c>
      <c r="J39" s="48">
        <f t="shared" si="41"/>
        <v>6296857.9399999995</v>
      </c>
      <c r="K39" s="48">
        <f t="shared" si="41"/>
        <v>324955.16</v>
      </c>
      <c r="L39" s="112">
        <f>I39/I41</f>
        <v>0.2273422772860854</v>
      </c>
      <c r="M39" s="48">
        <f t="shared" si="42"/>
        <v>5971902.78</v>
      </c>
      <c r="N39" s="117">
        <f>M39/M41</f>
        <v>0.054177030687638815</v>
      </c>
      <c r="O39" s="39">
        <f t="shared" si="43"/>
        <v>0.05472472120537254</v>
      </c>
      <c r="P39" s="49">
        <f t="shared" si="44"/>
        <v>124584899.55000001</v>
      </c>
      <c r="Q39" s="49">
        <f t="shared" si="44"/>
        <v>5668906.430000001</v>
      </c>
      <c r="R39" s="49">
        <f t="shared" si="44"/>
        <v>233317.83000000002</v>
      </c>
      <c r="S39" s="116">
        <f>P39/P41</f>
        <v>0.22905211160469774</v>
      </c>
      <c r="T39" s="35">
        <f t="shared" si="45"/>
        <v>5435588.600000001</v>
      </c>
      <c r="U39" s="116">
        <f>T39/T41</f>
        <v>0.04501338560826821</v>
      </c>
      <c r="V39" s="36">
        <f t="shared" si="46"/>
        <v>0.043629594113197646</v>
      </c>
      <c r="W39" s="118">
        <f t="shared" si="47"/>
        <v>405307.93</v>
      </c>
      <c r="X39" s="51">
        <f t="shared" si="48"/>
        <v>118728205</v>
      </c>
      <c r="Y39" s="51">
        <f t="shared" si="48"/>
        <v>6338854</v>
      </c>
      <c r="Z39" s="51">
        <f t="shared" si="48"/>
        <v>215041</v>
      </c>
      <c r="AA39" s="119">
        <f>X39/X41</f>
        <v>0.19815383689491298</v>
      </c>
      <c r="AB39" s="41">
        <f t="shared" si="49"/>
        <v>6123813</v>
      </c>
      <c r="AC39" s="119">
        <f>AB39/AB41</f>
        <v>0.04517883107935184</v>
      </c>
      <c r="AD39" s="39">
        <f t="shared" si="50"/>
        <v>0.0515784181189297</v>
      </c>
      <c r="AE39" s="120">
        <f t="shared" si="51"/>
        <v>378256.39</v>
      </c>
      <c r="AF39" s="53">
        <f t="shared" si="52"/>
        <v>84608832</v>
      </c>
      <c r="AG39" s="53">
        <f t="shared" si="52"/>
        <v>7629622</v>
      </c>
      <c r="AH39" s="53">
        <f t="shared" si="52"/>
        <v>249488</v>
      </c>
      <c r="AI39" s="121">
        <f>AF39/AF41</f>
        <v>0.133685461159057</v>
      </c>
      <c r="AJ39" s="35">
        <f t="shared" si="53"/>
        <v>7380134</v>
      </c>
      <c r="AK39" s="121">
        <f>AJ39/AJ41</f>
        <v>0.052115020025998</v>
      </c>
      <c r="AL39" s="36">
        <f t="shared" si="54"/>
        <v>0.08722652027627564</v>
      </c>
      <c r="AM39" s="43">
        <f t="shared" si="55"/>
        <v>452877.66000000003</v>
      </c>
      <c r="AN39" s="45">
        <f t="shared" si="56"/>
        <v>98601672</v>
      </c>
      <c r="AO39" s="54">
        <f>AN39/AN41</f>
        <v>0.138015667919621</v>
      </c>
      <c r="AP39" s="45">
        <f t="shared" si="57"/>
        <v>8815751</v>
      </c>
      <c r="AQ39" s="54">
        <f>AP39/AP41</f>
        <v>0.057006229179868646</v>
      </c>
      <c r="AR39" s="39">
        <f t="shared" si="58"/>
        <v>0.08940772322806047</v>
      </c>
      <c r="AS39" s="120">
        <f t="shared" si="59"/>
        <v>569753</v>
      </c>
      <c r="AT39" s="53">
        <f t="shared" si="59"/>
        <v>124063378</v>
      </c>
      <c r="AU39" s="121">
        <f>AT39/AT41</f>
        <v>0.15232626999837312</v>
      </c>
      <c r="AV39" s="35">
        <f t="shared" si="60"/>
        <v>11238292</v>
      </c>
      <c r="AW39" s="121">
        <f>AV39/AV41</f>
        <v>0.0604836400875172</v>
      </c>
      <c r="AX39" s="121">
        <f t="shared" si="61"/>
        <v>0.09058508788951401</v>
      </c>
      <c r="AY39" s="43" t="e">
        <f t="shared" si="62"/>
        <v>#REF!</v>
      </c>
      <c r="AZ39" s="45" t="e">
        <f t="shared" si="62"/>
        <v>#REF!</v>
      </c>
      <c r="BA39" s="54" t="e">
        <f>AZ39/AZ41</f>
        <v>#REF!</v>
      </c>
      <c r="BB39" s="45" t="e">
        <f t="shared" si="63"/>
        <v>#REF!</v>
      </c>
      <c r="BC39" s="54" t="e">
        <f>BB39/BB41</f>
        <v>#REF!</v>
      </c>
      <c r="BD39" s="40">
        <f t="shared" si="64"/>
        <v>69425623</v>
      </c>
      <c r="BE39" s="46">
        <f>BD39/BD41</f>
        <v>0.1012332829971117</v>
      </c>
      <c r="BF39" s="53">
        <f t="shared" si="65"/>
        <v>9857675</v>
      </c>
      <c r="BG39" s="47">
        <f>BF39/BF41</f>
        <v>0.06499221732426184</v>
      </c>
    </row>
    <row r="40" spans="1:59" s="2" customFormat="1" ht="20.25">
      <c r="A40" s="23" t="s">
        <v>4</v>
      </c>
      <c r="B40" s="35">
        <f t="shared" si="38"/>
        <v>27206191.22</v>
      </c>
      <c r="C40" s="35">
        <f t="shared" si="38"/>
        <v>120997.72</v>
      </c>
      <c r="D40" s="35">
        <f t="shared" si="38"/>
        <v>385.5</v>
      </c>
      <c r="E40" s="111">
        <f>B40/B41</f>
        <v>0.06244851900962893</v>
      </c>
      <c r="F40" s="35">
        <f t="shared" si="39"/>
        <v>27682.91</v>
      </c>
      <c r="G40" s="111">
        <f>F40/F41</f>
        <v>0.000284173918489632</v>
      </c>
      <c r="H40" s="36">
        <f t="shared" si="40"/>
        <v>0.0010175224373064596</v>
      </c>
      <c r="I40" s="37">
        <f t="shared" si="41"/>
        <v>21598705.93</v>
      </c>
      <c r="J40" s="37">
        <f t="shared" si="41"/>
        <v>20294.97</v>
      </c>
      <c r="K40" s="37">
        <f t="shared" si="41"/>
        <v>1587.72</v>
      </c>
      <c r="L40" s="112">
        <f>I40/I41</f>
        <v>0.044996503342741155</v>
      </c>
      <c r="M40" s="37">
        <f t="shared" si="42"/>
        <v>18707.25</v>
      </c>
      <c r="N40" s="112">
        <f>M40/M41</f>
        <v>0.00016971194854771752</v>
      </c>
      <c r="O40" s="39">
        <f t="shared" si="43"/>
        <v>0.000866128279195475</v>
      </c>
      <c r="P40" s="35">
        <f t="shared" si="44"/>
        <v>26619486.220000003</v>
      </c>
      <c r="Q40" s="35">
        <f t="shared" si="44"/>
        <v>28034.81</v>
      </c>
      <c r="R40" s="35">
        <f t="shared" si="44"/>
        <v>2917.21</v>
      </c>
      <c r="S40" s="111">
        <f>P40/P41</f>
        <v>0.048940518076800534</v>
      </c>
      <c r="T40" s="35">
        <f t="shared" si="45"/>
        <v>25117.600000000002</v>
      </c>
      <c r="U40" s="111">
        <f>T40/T41</f>
        <v>0.00020800474383845708</v>
      </c>
      <c r="V40" s="36">
        <f t="shared" si="46"/>
        <v>0.0009435794437357853</v>
      </c>
      <c r="W40" s="122">
        <f t="shared" si="47"/>
        <v>433888.27999999997</v>
      </c>
      <c r="X40" s="123">
        <f t="shared" si="48"/>
        <v>55559940</v>
      </c>
      <c r="Y40" s="123">
        <f t="shared" si="48"/>
        <v>22549</v>
      </c>
      <c r="Z40" s="123">
        <f t="shared" si="48"/>
        <v>1327</v>
      </c>
      <c r="AA40" s="124">
        <f>X40/X41</f>
        <v>0.09272788457175067</v>
      </c>
      <c r="AB40" s="123">
        <f t="shared" si="49"/>
        <v>21222</v>
      </c>
      <c r="AC40" s="124">
        <f>AB40/AB41</f>
        <v>0.00015656669352346402</v>
      </c>
      <c r="AD40" s="93">
        <f t="shared" si="50"/>
        <v>0.0003819658552547033</v>
      </c>
      <c r="AE40" s="125">
        <f t="shared" si="51"/>
        <v>479948.22000000003</v>
      </c>
      <c r="AF40" s="49">
        <f t="shared" si="52"/>
        <v>97213485</v>
      </c>
      <c r="AG40" s="49">
        <f t="shared" si="52"/>
        <v>22491</v>
      </c>
      <c r="AH40" s="49">
        <f t="shared" si="52"/>
        <v>5004</v>
      </c>
      <c r="AI40" s="116">
        <f>AF40/AF41</f>
        <v>0.15360133529681713</v>
      </c>
      <c r="AJ40" s="49">
        <f t="shared" si="53"/>
        <v>17487</v>
      </c>
      <c r="AK40" s="116">
        <f>AJ40/AJ41</f>
        <v>0.00012348493336227054</v>
      </c>
      <c r="AL40" s="50">
        <f t="shared" si="54"/>
        <v>0.00017988245149322648</v>
      </c>
      <c r="AM40" s="126">
        <f t="shared" si="55"/>
        <v>487008.08999999997</v>
      </c>
      <c r="AN40" s="95">
        <f t="shared" si="56"/>
        <v>98036878</v>
      </c>
      <c r="AO40" s="93">
        <f>AN40/AN41</f>
        <v>0.13722510910285982</v>
      </c>
      <c r="AP40" s="95">
        <f t="shared" si="57"/>
        <v>20284</v>
      </c>
      <c r="AQ40" s="93">
        <f>AP40/AP41</f>
        <v>0.00013116458855115754</v>
      </c>
      <c r="AR40" s="54">
        <f t="shared" si="58"/>
        <v>0.00020690173344769302</v>
      </c>
      <c r="AS40" s="125">
        <f t="shared" si="59"/>
        <v>421877</v>
      </c>
      <c r="AT40" s="49">
        <f t="shared" si="59"/>
        <v>84888645</v>
      </c>
      <c r="AU40" s="116">
        <f>AT40/AT41</f>
        <v>0.10422713669835788</v>
      </c>
      <c r="AV40" s="49">
        <f t="shared" si="60"/>
        <v>29060</v>
      </c>
      <c r="AW40" s="116">
        <f>AV40/AV41</f>
        <v>0.00015639872864517577</v>
      </c>
      <c r="AX40" s="116">
        <f t="shared" si="61"/>
        <v>0.00034233082646094776</v>
      </c>
      <c r="AY40" s="126" t="e">
        <f t="shared" si="62"/>
        <v>#REF!</v>
      </c>
      <c r="AZ40" s="95" t="e">
        <f t="shared" si="62"/>
        <v>#REF!</v>
      </c>
      <c r="BA40" s="93" t="e">
        <f>AZ40/AZ41</f>
        <v>#REF!</v>
      </c>
      <c r="BB40" s="95" t="e">
        <f t="shared" si="63"/>
        <v>#REF!</v>
      </c>
      <c r="BC40" s="93" t="e">
        <f>BB40/BB41</f>
        <v>#REF!</v>
      </c>
      <c r="BD40" s="56">
        <f t="shared" si="64"/>
        <v>68820405</v>
      </c>
      <c r="BE40" s="58">
        <f>BD40/BD41</f>
        <v>0.10035078166084072</v>
      </c>
      <c r="BF40" s="53">
        <f t="shared" si="65"/>
        <v>12363</v>
      </c>
      <c r="BG40" s="47">
        <f>BF40/BF41</f>
        <v>8.150996891050365E-05</v>
      </c>
    </row>
    <row r="41" spans="1:59" s="3" customFormat="1" ht="24" customHeight="1">
      <c r="A41" s="21" t="s">
        <v>16</v>
      </c>
      <c r="B41" s="65">
        <f>B27+B14</f>
        <v>435657909.13</v>
      </c>
      <c r="C41" s="65">
        <f>C27+C14</f>
        <v>90981158.42</v>
      </c>
      <c r="D41" s="65">
        <f>D27+D14</f>
        <v>1724179.81</v>
      </c>
      <c r="E41" s="127">
        <f>SUM(E34:E40)</f>
        <v>1</v>
      </c>
      <c r="F41" s="65">
        <f>F27+F14</f>
        <v>97415379.1</v>
      </c>
      <c r="G41" s="127">
        <f>SUM(G34:G40)</f>
        <v>1</v>
      </c>
      <c r="H41" s="61">
        <f t="shared" si="40"/>
        <v>0.223605211930013</v>
      </c>
      <c r="I41" s="62">
        <f>I27+I14</f>
        <v>480008541.22999996</v>
      </c>
      <c r="J41" s="62">
        <f>J27+J14</f>
        <v>111885735.59999998</v>
      </c>
      <c r="K41" s="62">
        <f>K27+K14</f>
        <v>1656313.57</v>
      </c>
      <c r="L41" s="63">
        <f>SUM(L34:L40)</f>
        <v>1</v>
      </c>
      <c r="M41" s="62">
        <f>M27+M14</f>
        <v>110229422.03</v>
      </c>
      <c r="N41" s="96">
        <f>SUM(N34:N40)</f>
        <v>1</v>
      </c>
      <c r="O41" s="63">
        <f t="shared" si="43"/>
        <v>0.22964054295271943</v>
      </c>
      <c r="P41" s="65">
        <f>P27+P14</f>
        <v>543915088.48</v>
      </c>
      <c r="Q41" s="65">
        <f>Q27+Q14</f>
        <v>131432271.99000001</v>
      </c>
      <c r="R41" s="65">
        <f>R27+R14</f>
        <v>10677333.73</v>
      </c>
      <c r="S41" s="66">
        <f>SUM(S34:S40)</f>
        <v>1</v>
      </c>
      <c r="T41" s="60">
        <f>T27+T14</f>
        <v>120754938.26</v>
      </c>
      <c r="U41" s="66">
        <f>SUM(U34:U40)</f>
        <v>0.9999999999999999</v>
      </c>
      <c r="V41" s="61">
        <f t="shared" si="46"/>
        <v>0.22201064250204233</v>
      </c>
      <c r="W41" s="128">
        <f>W27+W14</f>
        <v>2745203.5300000003</v>
      </c>
      <c r="X41" s="129">
        <f>X27+X14</f>
        <v>599171870</v>
      </c>
      <c r="Y41" s="129">
        <f>Y27+Y14</f>
        <v>143897622</v>
      </c>
      <c r="Z41" s="129">
        <f>Z27+Z14</f>
        <v>8351552</v>
      </c>
      <c r="AA41" s="130">
        <f>SUM(AA34:AA40)</f>
        <v>1</v>
      </c>
      <c r="AB41" s="131">
        <f>AB27+AB14</f>
        <v>135546070</v>
      </c>
      <c r="AC41" s="130">
        <f>SUM(AC34:AC40)</f>
        <v>1</v>
      </c>
      <c r="AD41" s="132">
        <f t="shared" si="50"/>
        <v>0.22622235252799835</v>
      </c>
      <c r="AE41" s="133">
        <f>AE27+AE14</f>
        <v>2847881.87</v>
      </c>
      <c r="AF41" s="65">
        <f>AF27+AF14</f>
        <v>632894791</v>
      </c>
      <c r="AG41" s="65">
        <f>AG27+AG14</f>
        <v>153696207</v>
      </c>
      <c r="AH41" s="65">
        <f>AH27+AH14</f>
        <v>12083789</v>
      </c>
      <c r="AI41" s="66">
        <f>SUM(AI34:AI40)</f>
        <v>1</v>
      </c>
      <c r="AJ41" s="97">
        <f>AJ27+AJ14</f>
        <v>141612418</v>
      </c>
      <c r="AK41" s="66">
        <f>SUM(AK34:AK40)</f>
        <v>0.9999999999999999</v>
      </c>
      <c r="AL41" s="98">
        <f t="shared" si="54"/>
        <v>0.2237534895432565</v>
      </c>
      <c r="AM41" s="134">
        <f>AM27+AM14</f>
        <v>3161880.2299999995</v>
      </c>
      <c r="AN41" s="99">
        <f>AN27+AN14</f>
        <v>714423757</v>
      </c>
      <c r="AO41" s="96">
        <f>SUM(AO34:AO40)</f>
        <v>1</v>
      </c>
      <c r="AP41" s="99">
        <f>AP27+AP14</f>
        <v>154645398</v>
      </c>
      <c r="AQ41" s="96">
        <f>SUM(AQ34:AQ40)</f>
        <v>0.9999999999999999</v>
      </c>
      <c r="AR41" s="63">
        <f t="shared" si="58"/>
        <v>0.216461723850541</v>
      </c>
      <c r="AS41" s="133">
        <f>AS27+AS14</f>
        <v>3549038</v>
      </c>
      <c r="AT41" s="65">
        <f>AT27+AT14</f>
        <v>814458189</v>
      </c>
      <c r="AU41" s="66">
        <f>SUM(AU34:AU40)</f>
        <v>1</v>
      </c>
      <c r="AV41" s="97">
        <f>AV27+AV14</f>
        <v>185807137</v>
      </c>
      <c r="AW41" s="66">
        <f>SUM(AW34:AW40)</f>
        <v>0.9999999999999999</v>
      </c>
      <c r="AX41" s="66">
        <f t="shared" si="61"/>
        <v>0.2281358816321018</v>
      </c>
      <c r="AY41" s="134" t="e">
        <f>AY27+AY14</f>
        <v>#REF!</v>
      </c>
      <c r="AZ41" s="99" t="e">
        <f>AZ27+AZ14</f>
        <v>#REF!</v>
      </c>
      <c r="BA41" s="96" t="e">
        <f>SUM(BA34:BA40)</f>
        <v>#REF!</v>
      </c>
      <c r="BB41" s="99" t="e">
        <f>BB27+BB14</f>
        <v>#REF!</v>
      </c>
      <c r="BC41" s="96" t="e">
        <f>SUM(BC34:BC40)</f>
        <v>#REF!</v>
      </c>
      <c r="BD41" s="60">
        <f>SUM(BD34:BD40)</f>
        <v>685798395</v>
      </c>
      <c r="BE41" s="72">
        <f>SUM(BE34:BE40)</f>
        <v>1</v>
      </c>
      <c r="BF41" s="60">
        <f>SUM(BF34:BF40)</f>
        <v>151674699</v>
      </c>
      <c r="BG41" s="61">
        <f>SUM(BG34:BG40)</f>
        <v>1</v>
      </c>
    </row>
    <row r="42" spans="1:59" s="8" customFormat="1" ht="20.25">
      <c r="A42" s="73"/>
      <c r="B42" s="23"/>
      <c r="C42" s="23"/>
      <c r="D42" s="23"/>
      <c r="E42" s="23"/>
      <c r="F42" s="23"/>
      <c r="G42" s="23"/>
      <c r="H42" s="23"/>
      <c r="I42" s="76"/>
      <c r="J42" s="76"/>
      <c r="K42" s="76"/>
      <c r="L42" s="77"/>
      <c r="M42" s="76"/>
      <c r="N42" s="77"/>
      <c r="O42" s="77"/>
      <c r="P42" s="76"/>
      <c r="Q42" s="76"/>
      <c r="R42" s="76"/>
      <c r="S42" s="77"/>
      <c r="T42" s="101"/>
      <c r="U42" s="77"/>
      <c r="V42" s="77"/>
      <c r="W42" s="78"/>
      <c r="X42" s="76"/>
      <c r="Y42" s="76"/>
      <c r="Z42" s="76"/>
      <c r="AA42" s="77"/>
      <c r="AB42" s="101"/>
      <c r="AC42" s="77"/>
      <c r="AD42" s="77"/>
      <c r="AE42" s="78"/>
      <c r="AF42" s="76"/>
      <c r="AG42" s="76"/>
      <c r="AH42" s="76"/>
      <c r="AI42" s="77"/>
      <c r="AJ42" s="101"/>
      <c r="AK42" s="77"/>
      <c r="AL42" s="77"/>
      <c r="AM42" s="79"/>
      <c r="AN42" s="73"/>
      <c r="AO42" s="73"/>
      <c r="AP42" s="73"/>
      <c r="AQ42" s="73"/>
      <c r="AR42" s="73"/>
      <c r="AS42" s="78"/>
      <c r="AT42" s="76"/>
      <c r="AU42" s="77"/>
      <c r="AV42" s="101"/>
      <c r="AW42" s="77"/>
      <c r="AX42" s="77"/>
      <c r="AY42" s="79"/>
      <c r="AZ42" s="73"/>
      <c r="BA42" s="73"/>
      <c r="BB42" s="73"/>
      <c r="BC42" s="73"/>
      <c r="BD42" s="73"/>
      <c r="BE42" s="73"/>
      <c r="BF42" s="73"/>
      <c r="BG42" s="73"/>
    </row>
    <row r="43" spans="1:59" s="6" customFormat="1" ht="60.75">
      <c r="A43" s="81" t="s">
        <v>21</v>
      </c>
      <c r="B43" s="86"/>
      <c r="C43" s="86"/>
      <c r="D43" s="86"/>
      <c r="E43" s="86"/>
      <c r="F43" s="84">
        <f>F41/B41</f>
        <v>0.223605211930013</v>
      </c>
      <c r="G43" s="86"/>
      <c r="H43" s="86"/>
      <c r="I43" s="86"/>
      <c r="J43" s="86"/>
      <c r="K43" s="86"/>
      <c r="L43" s="86"/>
      <c r="M43" s="84">
        <f>M41/I41</f>
        <v>0.22964054295271943</v>
      </c>
      <c r="N43" s="86"/>
      <c r="O43" s="86"/>
      <c r="P43" s="86"/>
      <c r="Q43" s="86"/>
      <c r="R43" s="86"/>
      <c r="S43" s="86"/>
      <c r="T43" s="84">
        <f>T41/P41</f>
        <v>0.22201064250204233</v>
      </c>
      <c r="U43" s="86"/>
      <c r="V43" s="86"/>
      <c r="W43" s="135"/>
      <c r="X43" s="86"/>
      <c r="Y43" s="86"/>
      <c r="Z43" s="86"/>
      <c r="AA43" s="86"/>
      <c r="AB43" s="84">
        <f>AB41/X41</f>
        <v>0.22622235252799835</v>
      </c>
      <c r="AC43" s="86"/>
      <c r="AD43" s="86"/>
      <c r="AE43" s="135"/>
      <c r="AF43" s="86"/>
      <c r="AG43" s="86"/>
      <c r="AH43" s="86"/>
      <c r="AI43" s="86"/>
      <c r="AJ43" s="84">
        <f>AJ41/AF41</f>
        <v>0.2237534895432565</v>
      </c>
      <c r="AK43" s="86"/>
      <c r="AL43" s="86"/>
      <c r="AM43" s="135"/>
      <c r="AN43" s="86"/>
      <c r="AO43" s="86"/>
      <c r="AP43" s="84">
        <f>AP41/AN41</f>
        <v>0.216461723850541</v>
      </c>
      <c r="AQ43" s="86"/>
      <c r="AR43" s="86"/>
      <c r="AS43" s="135"/>
      <c r="AT43" s="86"/>
      <c r="AU43" s="86"/>
      <c r="AV43" s="84">
        <f>AV41/AT41</f>
        <v>0.2281358816321018</v>
      </c>
      <c r="AW43" s="86"/>
      <c r="AX43" s="86"/>
      <c r="AY43" s="135"/>
      <c r="AZ43" s="86"/>
      <c r="BA43" s="86"/>
      <c r="BB43" s="84" t="e">
        <f>BB41/AZ41</f>
        <v>#REF!</v>
      </c>
      <c r="BC43" s="86"/>
      <c r="BD43" s="86"/>
      <c r="BE43" s="86"/>
      <c r="BF43" s="136">
        <f>BF41/BD41</f>
        <v>0.22116514139698445</v>
      </c>
      <c r="BG43" s="86"/>
    </row>
    <row r="44" spans="1:59" s="6" customFormat="1" ht="40.5" customHeight="1">
      <c r="A44" s="17"/>
      <c r="B44" s="19"/>
      <c r="C44" s="19"/>
      <c r="D44" s="19"/>
      <c r="E44" s="19"/>
      <c r="F44" s="18"/>
      <c r="G44" s="19"/>
      <c r="H44" s="19"/>
      <c r="I44" s="19"/>
      <c r="J44" s="19"/>
      <c r="K44" s="19"/>
      <c r="L44" s="19"/>
      <c r="M44" s="18"/>
      <c r="N44" s="19"/>
      <c r="O44" s="19"/>
      <c r="P44" s="19"/>
      <c r="Q44" s="19"/>
      <c r="R44" s="19"/>
      <c r="S44" s="19"/>
      <c r="T44" s="18"/>
      <c r="U44" s="19"/>
      <c r="V44" s="19"/>
      <c r="W44" s="20"/>
      <c r="X44" s="19"/>
      <c r="Y44" s="19"/>
      <c r="Z44" s="19"/>
      <c r="AA44" s="19"/>
      <c r="AB44" s="18"/>
      <c r="AC44" s="19"/>
      <c r="AD44" s="19"/>
      <c r="AE44" s="20"/>
      <c r="AF44" s="19"/>
      <c r="AG44" s="19"/>
      <c r="AH44" s="19"/>
      <c r="AI44" s="19"/>
      <c r="AJ44" s="18"/>
      <c r="AK44" s="19"/>
      <c r="AL44" s="19"/>
      <c r="AM44" s="20"/>
      <c r="AN44" s="19"/>
      <c r="AO44" s="19"/>
      <c r="AP44" s="18"/>
      <c r="AQ44" s="19"/>
      <c r="AR44" s="19"/>
      <c r="AS44" s="20"/>
      <c r="AT44" s="19"/>
      <c r="AU44" s="19"/>
      <c r="AV44" s="18"/>
      <c r="AW44" s="19"/>
      <c r="AX44" s="19"/>
      <c r="AY44" s="20"/>
      <c r="AZ44" s="19"/>
      <c r="BA44" s="19"/>
      <c r="BB44" s="18"/>
      <c r="BC44" s="19"/>
      <c r="BD44" s="19"/>
      <c r="BE44" s="19"/>
      <c r="BF44" s="18"/>
      <c r="BG44" s="19"/>
    </row>
    <row r="45" spans="23:51" s="5" customFormat="1" ht="12.75" customHeight="1">
      <c r="W45" s="10"/>
      <c r="AE45" s="10"/>
      <c r="AM45" s="10"/>
      <c r="AS45" s="10"/>
      <c r="AY45" s="10"/>
    </row>
  </sheetData>
  <sheetProtection/>
  <mergeCells count="29">
    <mergeCell ref="AY32:BC32"/>
    <mergeCell ref="B32:G32"/>
    <mergeCell ref="AE32:AL32"/>
    <mergeCell ref="BD18:BG18"/>
    <mergeCell ref="P5:V5"/>
    <mergeCell ref="BD32:BG32"/>
    <mergeCell ref="AS18:AX18"/>
    <mergeCell ref="AE18:AL18"/>
    <mergeCell ref="W18:AD18"/>
    <mergeCell ref="AM5:AR5"/>
    <mergeCell ref="P32:V32"/>
    <mergeCell ref="AM32:AR32"/>
    <mergeCell ref="W5:AD5"/>
    <mergeCell ref="AS32:AX32"/>
    <mergeCell ref="I32:O32"/>
    <mergeCell ref="A1:BG1"/>
    <mergeCell ref="A2:BG2"/>
    <mergeCell ref="W32:AD32"/>
    <mergeCell ref="AS5:AX5"/>
    <mergeCell ref="B5:G5"/>
    <mergeCell ref="AE5:AL5"/>
    <mergeCell ref="BD5:BG5"/>
    <mergeCell ref="P18:V18"/>
    <mergeCell ref="AM18:AR18"/>
    <mergeCell ref="B18:G18"/>
    <mergeCell ref="I5:O5"/>
    <mergeCell ref="I18:O18"/>
    <mergeCell ref="AY5:BC5"/>
    <mergeCell ref="AY18:BC18"/>
  </mergeCells>
  <printOptions/>
  <pageMargins left="0.5" right="0.25" top="1.25" bottom="0" header="0.5" footer="0.5"/>
  <pageSetup horizontalDpi="600" verticalDpi="600" orientation="portrait" scale="49" r:id="rId1"/>
  <headerFooter scaleWithDoc="0" alignWithMargins="0">
    <oddHeader>&amp;C&amp;"Bookman Old Style,Regular"&amp;14IDX RVUs, Gross Charges and Net Collections by Payor Class by TXN FSC (excluding HCPC and Neurosurgery)
Fiscal Year-to-Date 2014 Through March (Annualized)</oddHeader>
    <oddFooter>&amp;R&amp;Z&amp;F</oddFooter>
  </headerFooter>
  <ignoredErrors>
    <ignoredError sqref="AB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Belcher, Evita</dc:creator>
  <cp:keywords/>
  <dc:description/>
  <cp:lastModifiedBy>Le, Michael D</cp:lastModifiedBy>
  <cp:lastPrinted>2014-04-07T16:56:33Z</cp:lastPrinted>
  <dcterms:created xsi:type="dcterms:W3CDTF">2006-10-24T17:37:20Z</dcterms:created>
  <dcterms:modified xsi:type="dcterms:W3CDTF">2015-05-22T19:58:31Z</dcterms:modified>
  <cp:category/>
  <cp:version/>
  <cp:contentType/>
  <cp:contentStatus/>
</cp:coreProperties>
</file>